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O:\HCD\HOME-ARP\Application\HOME-ARP Application\Uploads for the Website\Exhibits\"/>
    </mc:Choice>
  </mc:AlternateContent>
  <xr:revisionPtr revIDLastSave="0" documentId="13_ncr:1_{C08E2402-2472-4295-97FC-B1F397A748CF}" xr6:coauthVersionLast="47" xr6:coauthVersionMax="47" xr10:uidLastSave="{00000000-0000-0000-0000-000000000000}"/>
  <bookViews>
    <workbookView xWindow="-28920" yWindow="-120" windowWidth="29040" windowHeight="15840" activeTab="3" xr2:uid="{8F01D8B9-6F3E-46AE-884A-28D86814DD55}"/>
  </bookViews>
  <sheets>
    <sheet name="Operating" sheetId="4" r:id="rId1"/>
    <sheet name="Financing" sheetId="17" r:id="rId2"/>
    <sheet name="Project Cost Summary" sheetId="15" r:id="rId3"/>
    <sheet name="Sources &amp; Uses" sheetId="16" r:id="rId4"/>
    <sheet name="Pro Forma" sheetId="1" r:id="rId5"/>
    <sheet name="AMI" sheetId="21" r:id="rId6"/>
  </sheets>
  <externalReferences>
    <externalReference r:id="rId7"/>
  </externalReferences>
  <definedNames>
    <definedName name="Address">'[1]Selection of Method'!$D$5</definedName>
    <definedName name="Name">'[1]Selection of Method'!$D$4</definedName>
    <definedName name="ReviewDate">'[1]Selection of Method'!$D$6</definedName>
    <definedName name="TotSqFt">'[1]Selection of Method'!$F$23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5" l="1"/>
  <c r="D17" i="15"/>
  <c r="E42" i="15"/>
  <c r="E41" i="15"/>
  <c r="E44" i="15"/>
  <c r="E48" i="15"/>
  <c r="D14" i="4"/>
  <c r="D22" i="4"/>
  <c r="D30" i="4"/>
  <c r="L17" i="4"/>
  <c r="D38" i="17"/>
  <c r="E38" i="17" s="1"/>
  <c r="F38" i="17" s="1"/>
  <c r="G38" i="17" s="1"/>
  <c r="H38" i="17" s="1"/>
  <c r="I38" i="17" s="1"/>
  <c r="J38" i="17" s="1"/>
  <c r="K38" i="17" s="1"/>
  <c r="L38" i="17" s="1"/>
  <c r="M38" i="17" s="1"/>
  <c r="N38" i="17" s="1"/>
  <c r="O38" i="17" s="1"/>
  <c r="P38" i="17" s="1"/>
  <c r="Q38" i="17" s="1"/>
  <c r="R38" i="17" s="1"/>
  <c r="S38" i="17" s="1"/>
  <c r="T38" i="17" s="1"/>
  <c r="U38" i="17" s="1"/>
  <c r="V38" i="17" s="1"/>
  <c r="W38" i="17" s="1"/>
  <c r="X38" i="17" s="1"/>
  <c r="Y38" i="17" s="1"/>
  <c r="Z38" i="17" s="1"/>
  <c r="AA38" i="17" s="1"/>
  <c r="AB38" i="17" s="1"/>
  <c r="AC38" i="17" s="1"/>
  <c r="AD38" i="17" s="1"/>
  <c r="AE38" i="17" s="1"/>
  <c r="C38" i="17"/>
  <c r="F35" i="17"/>
  <c r="B23" i="17"/>
  <c r="B15" i="17"/>
  <c r="D33" i="4" l="1"/>
  <c r="D70" i="4" s="1"/>
  <c r="L21" i="4"/>
  <c r="L20" i="4"/>
  <c r="L19" i="4"/>
  <c r="L18" i="4"/>
  <c r="M21" i="4"/>
  <c r="M20" i="4"/>
  <c r="M19" i="4"/>
  <c r="M18" i="4"/>
  <c r="M17" i="4"/>
  <c r="C13" i="21"/>
  <c r="C12" i="21"/>
  <c r="C11" i="21"/>
  <c r="C10" i="21"/>
  <c r="C9" i="21"/>
  <c r="C8" i="21"/>
  <c r="C7" i="21"/>
  <c r="B13" i="21"/>
  <c r="B12" i="21"/>
  <c r="B11" i="21"/>
  <c r="B10" i="21"/>
  <c r="B9" i="21"/>
  <c r="B8" i="21"/>
  <c r="B7" i="21"/>
  <c r="B13" i="16"/>
  <c r="B14" i="16"/>
  <c r="B10" i="16"/>
  <c r="D59" i="4" l="1"/>
  <c r="D50" i="4"/>
  <c r="D74" i="4"/>
  <c r="D51" i="4"/>
  <c r="D47" i="4"/>
  <c r="D72" i="4"/>
  <c r="D61" i="4"/>
  <c r="D52" i="4"/>
  <c r="D82" i="4"/>
  <c r="D66" i="4"/>
  <c r="D46" i="4"/>
  <c r="D57" i="4"/>
  <c r="D62" i="4"/>
  <c r="D69" i="4"/>
  <c r="D49" i="4"/>
  <c r="D48" i="4"/>
  <c r="D53" i="4"/>
  <c r="D58" i="4"/>
  <c r="D77" i="4"/>
  <c r="D80" i="4" s="1"/>
  <c r="D63" i="4"/>
  <c r="D73" i="4"/>
  <c r="D79" i="4"/>
  <c r="D67" i="4"/>
  <c r="D71" i="4"/>
  <c r="D60" i="4"/>
  <c r="D41" i="4"/>
  <c r="D40" i="4"/>
  <c r="D45" i="4"/>
  <c r="D68" i="4"/>
  <c r="D78" i="4"/>
  <c r="D56" i="4"/>
  <c r="D75" i="4" l="1"/>
  <c r="D64" i="4"/>
  <c r="B39" i="17"/>
  <c r="B31" i="17"/>
  <c r="Q11" i="17"/>
  <c r="C30" i="17"/>
  <c r="D30" i="17" s="1"/>
  <c r="E30" i="17" s="1"/>
  <c r="F30" i="17" s="1"/>
  <c r="G30" i="17" s="1"/>
  <c r="A14" i="16"/>
  <c r="A13" i="16"/>
  <c r="A12" i="16"/>
  <c r="A11" i="16"/>
  <c r="A10" i="16"/>
  <c r="A31" i="1"/>
  <c r="A30" i="1"/>
  <c r="A29" i="1"/>
  <c r="A28" i="1"/>
  <c r="A54" i="4"/>
  <c r="B12" i="16"/>
  <c r="B11" i="16"/>
  <c r="E60" i="15"/>
  <c r="E54" i="15"/>
  <c r="E53" i="15"/>
  <c r="B40" i="17" l="1" a="1"/>
  <c r="B40" i="17" s="1"/>
  <c r="R11" i="17"/>
  <c r="H30" i="17"/>
  <c r="I30" i="17" s="1"/>
  <c r="J30" i="17" s="1"/>
  <c r="K30" i="17" s="1"/>
  <c r="L30" i="17" s="1"/>
  <c r="M30" i="17" s="1"/>
  <c r="N30" i="17" s="1"/>
  <c r="O30" i="17" s="1"/>
  <c r="P30" i="17" s="1"/>
  <c r="Q30" i="17" s="1"/>
  <c r="R30" i="17" s="1"/>
  <c r="S30" i="17" s="1"/>
  <c r="T30" i="17" s="1"/>
  <c r="U30" i="17" s="1"/>
  <c r="V30" i="17" s="1"/>
  <c r="W30" i="17" s="1"/>
  <c r="X30" i="17" s="1"/>
  <c r="Y30" i="17" s="1"/>
  <c r="Z30" i="17" s="1"/>
  <c r="AA30" i="17" s="1"/>
  <c r="AB30" i="17" s="1"/>
  <c r="AC30" i="17" s="1"/>
  <c r="AD30" i="17" s="1"/>
  <c r="AE30" i="17" s="1"/>
  <c r="B41" i="17" a="1"/>
  <c r="B41" i="17" s="1"/>
  <c r="B42" i="17"/>
  <c r="B22" i="16"/>
  <c r="E47" i="15" l="1"/>
  <c r="E45" i="15"/>
  <c r="E35" i="15"/>
  <c r="E36" i="15"/>
  <c r="E37" i="15"/>
  <c r="E38" i="15"/>
  <c r="E34" i="15"/>
  <c r="E33" i="15"/>
  <c r="E31" i="15"/>
  <c r="E24" i="15"/>
  <c r="E25" i="15"/>
  <c r="E26" i="15"/>
  <c r="E27" i="15"/>
  <c r="E28" i="15"/>
  <c r="E29" i="15"/>
  <c r="E30" i="15"/>
  <c r="E23" i="15"/>
  <c r="E22" i="15"/>
  <c r="E16" i="15"/>
  <c r="E10" i="15"/>
  <c r="E9" i="15"/>
  <c r="E12" i="15"/>
  <c r="C22" i="17" l="1"/>
  <c r="T9" i="17"/>
  <c r="C26" i="17" l="1"/>
  <c r="D22" i="17"/>
  <c r="O9" i="17"/>
  <c r="B26" i="17" s="1"/>
  <c r="Q9" i="17"/>
  <c r="B25" i="17" s="1"/>
  <c r="O10" i="17"/>
  <c r="B34" i="17" s="1" a="1"/>
  <c r="B34" i="17" s="1"/>
  <c r="O8" i="17"/>
  <c r="Q10" i="17"/>
  <c r="Q8" i="17"/>
  <c r="R8" i="17" s="1"/>
  <c r="D28" i="1" s="1"/>
  <c r="S7" i="17"/>
  <c r="D39" i="15" s="1"/>
  <c r="E39" i="15" s="1"/>
  <c r="T11" i="17"/>
  <c r="T10" i="17"/>
  <c r="T7" i="17"/>
  <c r="D40" i="15" s="1"/>
  <c r="E40" i="15" s="1"/>
  <c r="T8" i="17"/>
  <c r="C14" i="17"/>
  <c r="D18" i="15"/>
  <c r="D26" i="17" l="1"/>
  <c r="B32" i="17" a="1"/>
  <c r="B32" i="17" s="1"/>
  <c r="B33" i="17" a="1"/>
  <c r="B33" i="17" s="1"/>
  <c r="B24" i="17"/>
  <c r="B27" i="17" s="1"/>
  <c r="C24" i="17" s="1"/>
  <c r="E22" i="17"/>
  <c r="R10" i="17"/>
  <c r="R9" i="17"/>
  <c r="D14" i="17"/>
  <c r="B16" i="17"/>
  <c r="B18" i="17"/>
  <c r="B17" i="17"/>
  <c r="E26" i="17" l="1"/>
  <c r="F22" i="17"/>
  <c r="C23" i="17"/>
  <c r="C25" i="17"/>
  <c r="E14" i="17"/>
  <c r="F14" i="17" s="1"/>
  <c r="G14" i="17" s="1"/>
  <c r="H14" i="17" s="1"/>
  <c r="I14" i="17" s="1"/>
  <c r="J14" i="17" s="1"/>
  <c r="K14" i="17" s="1"/>
  <c r="L14" i="17" s="1"/>
  <c r="M14" i="17" s="1"/>
  <c r="N14" i="17" s="1"/>
  <c r="O14" i="17" s="1"/>
  <c r="P14" i="17" s="1"/>
  <c r="Q14" i="17" s="1"/>
  <c r="R14" i="17" s="1"/>
  <c r="S14" i="17" s="1"/>
  <c r="T14" i="17" s="1"/>
  <c r="U14" i="17" s="1"/>
  <c r="V14" i="17" s="1"/>
  <c r="W14" i="17" s="1"/>
  <c r="X14" i="17" s="1"/>
  <c r="Y14" i="17" s="1"/>
  <c r="Z14" i="17" s="1"/>
  <c r="AA14" i="17" s="1"/>
  <c r="AB14" i="17" s="1"/>
  <c r="AC14" i="17" s="1"/>
  <c r="AD14" i="17" s="1"/>
  <c r="AE14" i="17" s="1"/>
  <c r="C16" i="17"/>
  <c r="C17" i="17"/>
  <c r="F26" i="17" l="1"/>
  <c r="G22" i="17"/>
  <c r="D16" i="17"/>
  <c r="D17" i="17"/>
  <c r="H22" i="17" l="1"/>
  <c r="G26" i="17"/>
  <c r="E17" i="17"/>
  <c r="E16" i="17"/>
  <c r="I22" i="17" l="1"/>
  <c r="H26" i="17"/>
  <c r="F17" i="17"/>
  <c r="F16" i="17"/>
  <c r="J22" i="17" l="1"/>
  <c r="I26" i="17"/>
  <c r="G16" i="17"/>
  <c r="G17" i="17"/>
  <c r="K22" i="17" l="1"/>
  <c r="J26" i="17"/>
  <c r="H17" i="17"/>
  <c r="H16" i="17"/>
  <c r="A83" i="4"/>
  <c r="C43" i="4"/>
  <c r="D43" i="4" s="1"/>
  <c r="C42" i="4"/>
  <c r="D42" i="4" s="1"/>
  <c r="C64" i="4"/>
  <c r="D20" i="1" s="1"/>
  <c r="AH20" i="1" s="1"/>
  <c r="C75" i="4"/>
  <c r="D21" i="1" s="1"/>
  <c r="AH21" i="1" s="1"/>
  <c r="C80" i="4"/>
  <c r="D22" i="1" s="1"/>
  <c r="AH22" i="1" s="1"/>
  <c r="A80" i="4"/>
  <c r="A75" i="4"/>
  <c r="A64" i="4"/>
  <c r="L22" i="17" l="1"/>
  <c r="K26" i="17"/>
  <c r="I16" i="17"/>
  <c r="I17" i="17"/>
  <c r="D59" i="15"/>
  <c r="H11" i="4"/>
  <c r="H10" i="4"/>
  <c r="H9" i="4"/>
  <c r="H12" i="4"/>
  <c r="H13" i="4"/>
  <c r="H17" i="4"/>
  <c r="H18" i="4"/>
  <c r="H19" i="4"/>
  <c r="H20" i="4"/>
  <c r="H21" i="4"/>
  <c r="F22" i="1"/>
  <c r="H22" i="1" s="1"/>
  <c r="J22" i="1" s="1"/>
  <c r="L22" i="1" s="1"/>
  <c r="N22" i="1" s="1"/>
  <c r="P22" i="1" s="1"/>
  <c r="R22" i="1" s="1"/>
  <c r="T22" i="1" s="1"/>
  <c r="V22" i="1" s="1"/>
  <c r="X22" i="1" s="1"/>
  <c r="Z22" i="1" s="1"/>
  <c r="AB22" i="1" s="1"/>
  <c r="AD22" i="1" s="1"/>
  <c r="AF22" i="1" s="1"/>
  <c r="F21" i="1"/>
  <c r="H21" i="1" s="1"/>
  <c r="J21" i="1" s="1"/>
  <c r="L21" i="1" s="1"/>
  <c r="N21" i="1" s="1"/>
  <c r="P21" i="1" s="1"/>
  <c r="R21" i="1" s="1"/>
  <c r="T21" i="1" s="1"/>
  <c r="V21" i="1" s="1"/>
  <c r="X21" i="1" s="1"/>
  <c r="Z21" i="1" s="1"/>
  <c r="AB21" i="1" s="1"/>
  <c r="AD21" i="1" s="1"/>
  <c r="AF21" i="1" s="1"/>
  <c r="M22" i="17" l="1"/>
  <c r="L26" i="17"/>
  <c r="E17" i="15"/>
  <c r="J16" i="17"/>
  <c r="J17" i="17"/>
  <c r="N22" i="17" l="1"/>
  <c r="M26" i="17"/>
  <c r="K17" i="17"/>
  <c r="K16" i="17"/>
  <c r="I17" i="4"/>
  <c r="P17" i="4"/>
  <c r="I18" i="4"/>
  <c r="P18" i="4"/>
  <c r="I19" i="4"/>
  <c r="P19" i="4"/>
  <c r="I20" i="4"/>
  <c r="P20" i="4"/>
  <c r="I21" i="4"/>
  <c r="P21" i="4"/>
  <c r="H22" i="4"/>
  <c r="O22" i="17" l="1"/>
  <c r="N26" i="17"/>
  <c r="L17" i="17"/>
  <c r="L16" i="17"/>
  <c r="B43" i="17"/>
  <c r="C39" i="17" s="1"/>
  <c r="P22" i="4"/>
  <c r="I22" i="4"/>
  <c r="P22" i="17" l="1"/>
  <c r="O26" i="17"/>
  <c r="C40" i="17" a="1"/>
  <c r="C40" i="17" s="1"/>
  <c r="C41" i="17" a="1"/>
  <c r="C41" i="17" s="1"/>
  <c r="C42" i="17"/>
  <c r="M17" i="17"/>
  <c r="M16" i="17"/>
  <c r="F20" i="1"/>
  <c r="H20" i="1" s="1"/>
  <c r="J20" i="1" s="1"/>
  <c r="L20" i="1" s="1"/>
  <c r="N20" i="1" s="1"/>
  <c r="P20" i="1" s="1"/>
  <c r="R20" i="1" s="1"/>
  <c r="T20" i="1" s="1"/>
  <c r="V20" i="1" s="1"/>
  <c r="X20" i="1" s="1"/>
  <c r="Z20" i="1" s="1"/>
  <c r="AB20" i="1" s="1"/>
  <c r="AD20" i="1" s="1"/>
  <c r="AF20" i="1" s="1"/>
  <c r="F11" i="1"/>
  <c r="H11" i="1" s="1"/>
  <c r="J11" i="1" s="1"/>
  <c r="L11" i="1" s="1"/>
  <c r="N11" i="1" s="1"/>
  <c r="P11" i="1" s="1"/>
  <c r="R11" i="1" s="1"/>
  <c r="T11" i="1" s="1"/>
  <c r="V11" i="1" s="1"/>
  <c r="X11" i="1" s="1"/>
  <c r="Z11" i="1" s="1"/>
  <c r="AB11" i="1" s="1"/>
  <c r="AD11" i="1" s="1"/>
  <c r="AF11" i="1" s="1"/>
  <c r="Q22" i="17" l="1"/>
  <c r="P26" i="17"/>
  <c r="N17" i="17"/>
  <c r="N16" i="17"/>
  <c r="P29" i="4"/>
  <c r="P28" i="4"/>
  <c r="P27" i="4"/>
  <c r="P26" i="4"/>
  <c r="P25" i="4"/>
  <c r="P13" i="4"/>
  <c r="P12" i="4"/>
  <c r="P11" i="4"/>
  <c r="P10" i="4"/>
  <c r="P9" i="4"/>
  <c r="R22" i="17" l="1"/>
  <c r="Q26" i="17"/>
  <c r="O16" i="17"/>
  <c r="O17" i="17"/>
  <c r="P30" i="4"/>
  <c r="P14" i="4"/>
  <c r="S22" i="17" l="1"/>
  <c r="R26" i="17"/>
  <c r="P16" i="17"/>
  <c r="P17" i="17"/>
  <c r="P33" i="4"/>
  <c r="T22" i="17" l="1"/>
  <c r="S26" i="17"/>
  <c r="Q17" i="17"/>
  <c r="Q16" i="17"/>
  <c r="U22" i="17" l="1"/>
  <c r="T26" i="17"/>
  <c r="R16" i="17"/>
  <c r="R17" i="17"/>
  <c r="H29" i="4"/>
  <c r="I29" i="4" s="1"/>
  <c r="H28" i="4"/>
  <c r="I28" i="4" s="1"/>
  <c r="H27" i="4"/>
  <c r="I27" i="4" s="1"/>
  <c r="H26" i="4"/>
  <c r="I26" i="4" s="1"/>
  <c r="H25" i="4"/>
  <c r="I25" i="4" s="1"/>
  <c r="I13" i="4"/>
  <c r="I12" i="4"/>
  <c r="I11" i="4"/>
  <c r="I10" i="4"/>
  <c r="I9" i="4"/>
  <c r="V22" i="17" l="1"/>
  <c r="U26" i="17"/>
  <c r="S16" i="17"/>
  <c r="S17" i="17"/>
  <c r="I30" i="4"/>
  <c r="H30" i="4"/>
  <c r="I14" i="4"/>
  <c r="C93" i="4" s="1"/>
  <c r="H14" i="4"/>
  <c r="W22" i="17" l="1"/>
  <c r="V26" i="17"/>
  <c r="T17" i="17"/>
  <c r="T16" i="17"/>
  <c r="I33" i="4"/>
  <c r="X22" i="17" l="1"/>
  <c r="W26" i="17"/>
  <c r="U16" i="17"/>
  <c r="U17" i="17"/>
  <c r="C44" i="4"/>
  <c r="D44" i="4" s="1"/>
  <c r="D54" i="4" s="1"/>
  <c r="C92" i="4" s="1"/>
  <c r="D10" i="1"/>
  <c r="Y22" i="17" l="1"/>
  <c r="X26" i="17"/>
  <c r="C94" i="4"/>
  <c r="C95" i="4" s="1"/>
  <c r="C54" i="4"/>
  <c r="V16" i="17"/>
  <c r="V17" i="17"/>
  <c r="D16" i="1"/>
  <c r="D15" i="1"/>
  <c r="Z22" i="17" l="1"/>
  <c r="Y26" i="17"/>
  <c r="D83" i="4"/>
  <c r="D86" i="4" s="1"/>
  <c r="D19" i="1"/>
  <c r="AH19" i="1" s="1"/>
  <c r="W17" i="17"/>
  <c r="W16" i="17"/>
  <c r="AH12" i="1"/>
  <c r="F12" i="1"/>
  <c r="H12" i="1" s="1"/>
  <c r="J12" i="1" s="1"/>
  <c r="L12" i="1" s="1"/>
  <c r="N12" i="1" s="1"/>
  <c r="P12" i="1" s="1"/>
  <c r="R12" i="1" s="1"/>
  <c r="T12" i="1" s="1"/>
  <c r="V12" i="1" s="1"/>
  <c r="X12" i="1" s="1"/>
  <c r="Z12" i="1" s="1"/>
  <c r="AB12" i="1" s="1"/>
  <c r="AD12" i="1" s="1"/>
  <c r="AF12" i="1" s="1"/>
  <c r="D13" i="1"/>
  <c r="AA22" i="17" l="1"/>
  <c r="Z26" i="17"/>
  <c r="F19" i="1"/>
  <c r="H19" i="1" s="1"/>
  <c r="J19" i="1" s="1"/>
  <c r="L19" i="1" s="1"/>
  <c r="N19" i="1" s="1"/>
  <c r="P19" i="1" s="1"/>
  <c r="R19" i="1" s="1"/>
  <c r="T19" i="1" s="1"/>
  <c r="V19" i="1" s="1"/>
  <c r="X19" i="1" s="1"/>
  <c r="Z19" i="1" s="1"/>
  <c r="AB19" i="1" s="1"/>
  <c r="AD19" i="1" s="1"/>
  <c r="AF19" i="1" s="1"/>
  <c r="X16" i="17"/>
  <c r="X17" i="17"/>
  <c r="AB22" i="17" l="1"/>
  <c r="AA26" i="17"/>
  <c r="C82" i="4"/>
  <c r="Y17" i="17"/>
  <c r="Y16" i="17"/>
  <c r="AC22" i="17" l="1"/>
  <c r="AB26" i="17"/>
  <c r="Z17" i="17"/>
  <c r="Z16" i="17"/>
  <c r="AD22" i="17" l="1"/>
  <c r="AC26" i="17"/>
  <c r="E55" i="15"/>
  <c r="AA16" i="17"/>
  <c r="AA17" i="17"/>
  <c r="AH31" i="1"/>
  <c r="AE22" i="17" l="1"/>
  <c r="AD26" i="17"/>
  <c r="AB16" i="17"/>
  <c r="AB17" i="17"/>
  <c r="AF22" i="17" l="1"/>
  <c r="AG22" i="17" s="1"/>
  <c r="AH22" i="17" s="1"/>
  <c r="AI22" i="17" s="1"/>
  <c r="AJ22" i="17" s="1"/>
  <c r="AK22" i="17" s="1"/>
  <c r="AE26" i="17"/>
  <c r="C83" i="4"/>
  <c r="C86" i="4" s="1"/>
  <c r="AC16" i="17"/>
  <c r="AC17" i="17"/>
  <c r="F10" i="1"/>
  <c r="F16" i="1" s="1"/>
  <c r="AH10" i="1"/>
  <c r="AH16" i="1" s="1"/>
  <c r="D23" i="1" l="1"/>
  <c r="F23" i="1" s="1"/>
  <c r="H23" i="1" s="1"/>
  <c r="J23" i="1" s="1"/>
  <c r="L23" i="1" s="1"/>
  <c r="N23" i="1" s="1"/>
  <c r="P23" i="1" s="1"/>
  <c r="R23" i="1" s="1"/>
  <c r="T23" i="1" s="1"/>
  <c r="V23" i="1" s="1"/>
  <c r="X23" i="1" s="1"/>
  <c r="Z23" i="1" s="1"/>
  <c r="AB23" i="1" s="1"/>
  <c r="AD23" i="1" s="1"/>
  <c r="AF23" i="1" s="1"/>
  <c r="AD17" i="17"/>
  <c r="AD16" i="17"/>
  <c r="F13" i="1"/>
  <c r="H10" i="1"/>
  <c r="F15" i="1"/>
  <c r="AH23" i="1" l="1"/>
  <c r="AE17" i="17"/>
  <c r="AE16" i="17"/>
  <c r="H13" i="1"/>
  <c r="H16" i="1"/>
  <c r="H15" i="1"/>
  <c r="J10" i="1"/>
  <c r="J16" i="1" s="1"/>
  <c r="J13" i="1" l="1"/>
  <c r="H17" i="1"/>
  <c r="L10" i="1"/>
  <c r="L16" i="1" s="1"/>
  <c r="J15" i="1"/>
  <c r="J17" i="1" l="1"/>
  <c r="L13" i="1"/>
  <c r="N10" i="1"/>
  <c r="N16" i="1" s="1"/>
  <c r="L15" i="1"/>
  <c r="L17" i="1" l="1"/>
  <c r="N13" i="1"/>
  <c r="N15" i="1"/>
  <c r="P10" i="1"/>
  <c r="P16" i="1" s="1"/>
  <c r="AH11" i="1"/>
  <c r="AH13" i="1" s="1"/>
  <c r="N17" i="1" l="1"/>
  <c r="P13" i="1"/>
  <c r="R10" i="1"/>
  <c r="R16" i="1" s="1"/>
  <c r="P15" i="1"/>
  <c r="D17" i="1"/>
  <c r="P17" i="1" l="1"/>
  <c r="R13" i="1"/>
  <c r="D24" i="1"/>
  <c r="T10" i="1"/>
  <c r="R15" i="1"/>
  <c r="F17" i="1"/>
  <c r="AH15" i="1"/>
  <c r="AH17" i="1" s="1"/>
  <c r="D25" i="1" l="1"/>
  <c r="T13" i="1"/>
  <c r="T16" i="1"/>
  <c r="R17" i="1"/>
  <c r="H24" i="1"/>
  <c r="T15" i="1"/>
  <c r="V10" i="1"/>
  <c r="V16" i="1" s="1"/>
  <c r="H25" i="1" l="1"/>
  <c r="V13" i="1"/>
  <c r="T17" i="1"/>
  <c r="F24" i="1"/>
  <c r="J24" i="1"/>
  <c r="AH24" i="1"/>
  <c r="V15" i="1"/>
  <c r="X10" i="1"/>
  <c r="X13" i="1" l="1"/>
  <c r="X16" i="1"/>
  <c r="V17" i="1"/>
  <c r="AH25" i="1"/>
  <c r="F25" i="1"/>
  <c r="J25" i="1"/>
  <c r="Z10" i="1"/>
  <c r="Z15" i="1" s="1"/>
  <c r="L24" i="1"/>
  <c r="X15" i="1"/>
  <c r="AB10" i="1" l="1"/>
  <c r="AB16" i="1" s="1"/>
  <c r="Z16" i="1"/>
  <c r="L25" i="1"/>
  <c r="Z13" i="1"/>
  <c r="X17" i="1"/>
  <c r="N24" i="1"/>
  <c r="AB15" i="1" l="1"/>
  <c r="AB13" i="1"/>
  <c r="AD10" i="1"/>
  <c r="AD16" i="1" s="1"/>
  <c r="Z17" i="1"/>
  <c r="N25" i="1"/>
  <c r="P24" i="1"/>
  <c r="AB17" i="1" l="1"/>
  <c r="AF10" i="1"/>
  <c r="AF16" i="1" s="1"/>
  <c r="AD15" i="1"/>
  <c r="AD13" i="1"/>
  <c r="P25" i="1"/>
  <c r="R24" i="1"/>
  <c r="AF15" i="1" l="1"/>
  <c r="AF13" i="1"/>
  <c r="AD17" i="1"/>
  <c r="R25" i="1"/>
  <c r="T24" i="1"/>
  <c r="AF17" i="1" l="1"/>
  <c r="T25" i="1"/>
  <c r="V24" i="1"/>
  <c r="V25" i="1" l="1"/>
  <c r="X24" i="1"/>
  <c r="X25" i="1" l="1"/>
  <c r="Z24" i="1"/>
  <c r="Z25" i="1" l="1"/>
  <c r="AB24" i="1"/>
  <c r="AB25" i="1" l="1"/>
  <c r="AF32" i="1"/>
  <c r="T32" i="1"/>
  <c r="T33" i="1" s="1"/>
  <c r="AD32" i="1"/>
  <c r="AH28" i="1"/>
  <c r="N32" i="1"/>
  <c r="N33" i="1" s="1"/>
  <c r="AB32" i="1"/>
  <c r="AB33" i="1" s="1"/>
  <c r="X32" i="1"/>
  <c r="X33" i="1" s="1"/>
  <c r="P32" i="1"/>
  <c r="P33" i="1" s="1"/>
  <c r="V32" i="1"/>
  <c r="V33" i="1" s="1"/>
  <c r="R32" i="1"/>
  <c r="R33" i="1" s="1"/>
  <c r="AD24" i="1"/>
  <c r="B35" i="17" l="1"/>
  <c r="B19" i="17"/>
  <c r="C15" i="17" s="1"/>
  <c r="AD25" i="1"/>
  <c r="AD33" i="1"/>
  <c r="AF24" i="1"/>
  <c r="AF33" i="1" s="1"/>
  <c r="Z32" i="1"/>
  <c r="Z33" i="1" s="1"/>
  <c r="J32" i="1"/>
  <c r="J33" i="1" s="1"/>
  <c r="L32" i="1"/>
  <c r="L33" i="1" s="1"/>
  <c r="H32" i="1"/>
  <c r="H33" i="1" s="1"/>
  <c r="F32" i="1"/>
  <c r="F33" i="1" s="1"/>
  <c r="C31" i="17" l="1"/>
  <c r="C34" i="17" s="1" a="1"/>
  <c r="C34" i="17" s="1"/>
  <c r="C43" i="17"/>
  <c r="D39" i="17" s="1"/>
  <c r="C27" i="17"/>
  <c r="D24" i="17" s="1"/>
  <c r="AF25" i="1"/>
  <c r="D42" i="17" l="1"/>
  <c r="D41" i="17" a="1"/>
  <c r="D41" i="17" s="1"/>
  <c r="D40" i="17" a="1"/>
  <c r="D40" i="17" s="1"/>
  <c r="C32" i="17" a="1"/>
  <c r="C32" i="17" s="1"/>
  <c r="C33" i="17" a="1"/>
  <c r="C33" i="17" s="1"/>
  <c r="D23" i="17"/>
  <c r="D25" i="17"/>
  <c r="D43" i="17" l="1"/>
  <c r="E39" i="17" s="1"/>
  <c r="C35" i="17"/>
  <c r="D31" i="17" s="1"/>
  <c r="D34" i="17" s="1" a="1"/>
  <c r="D34" i="17" s="1"/>
  <c r="D27" i="17"/>
  <c r="E25" i="17" l="1"/>
  <c r="E24" i="17"/>
  <c r="E42" i="17"/>
  <c r="E41" i="17" a="1"/>
  <c r="E41" i="17" s="1"/>
  <c r="E40" i="17" a="1"/>
  <c r="E40" i="17" s="1"/>
  <c r="D33" i="17" a="1"/>
  <c r="D33" i="17" s="1"/>
  <c r="D32" i="17" a="1"/>
  <c r="D32" i="17" s="1"/>
  <c r="E23" i="17"/>
  <c r="E43" i="17" l="1"/>
  <c r="F39" i="17" s="1"/>
  <c r="D35" i="17"/>
  <c r="E31" i="17" s="1"/>
  <c r="E34" i="17" s="1" a="1"/>
  <c r="E34" i="17" s="1"/>
  <c r="F40" i="17" l="1" a="1"/>
  <c r="F40" i="17" s="1"/>
  <c r="F41" i="17" a="1"/>
  <c r="F41" i="17" s="1"/>
  <c r="F42" i="17"/>
  <c r="E33" i="17" a="1"/>
  <c r="E33" i="17" s="1"/>
  <c r="E32" i="17" a="1"/>
  <c r="E32" i="17" s="1"/>
  <c r="E27" i="17"/>
  <c r="F25" i="17" l="1"/>
  <c r="F24" i="17"/>
  <c r="F43" i="17"/>
  <c r="G39" i="17" s="1"/>
  <c r="G40" i="17" s="1" a="1"/>
  <c r="G40" i="17" s="1"/>
  <c r="E35" i="17"/>
  <c r="F31" i="17" s="1"/>
  <c r="F34" i="17" s="1" a="1"/>
  <c r="F34" i="17" s="1"/>
  <c r="F23" i="17"/>
  <c r="G42" i="17" l="1"/>
  <c r="G41" i="17" a="1"/>
  <c r="G41" i="17" s="1"/>
  <c r="G43" i="17" s="1"/>
  <c r="H39" i="17" s="1"/>
  <c r="F33" i="17" a="1"/>
  <c r="F33" i="17" s="1"/>
  <c r="F32" i="17" a="1"/>
  <c r="F32" i="17" s="1"/>
  <c r="F27" i="17"/>
  <c r="G25" i="17" l="1"/>
  <c r="G24" i="17"/>
  <c r="H41" i="17" a="1"/>
  <c r="H41" i="17" s="1"/>
  <c r="H42" i="17"/>
  <c r="H40" i="17" a="1"/>
  <c r="H40" i="17" s="1"/>
  <c r="G31" i="17"/>
  <c r="G34" i="17" s="1" a="1"/>
  <c r="G34" i="17" s="1"/>
  <c r="G23" i="17"/>
  <c r="H43" i="17" l="1"/>
  <c r="I39" i="17" s="1"/>
  <c r="I41" i="17" s="1" a="1"/>
  <c r="I41" i="17" s="1"/>
  <c r="G33" i="17" a="1"/>
  <c r="G33" i="17" s="1"/>
  <c r="G32" i="17" a="1"/>
  <c r="G32" i="17" s="1"/>
  <c r="G27" i="17"/>
  <c r="H25" i="17" l="1"/>
  <c r="H24" i="17"/>
  <c r="I42" i="17"/>
  <c r="I40" i="17" a="1"/>
  <c r="I40" i="17" s="1"/>
  <c r="I43" i="17" s="1"/>
  <c r="J39" i="17" s="1"/>
  <c r="J42" i="17" s="1"/>
  <c r="G35" i="17"/>
  <c r="H31" i="17" s="1"/>
  <c r="H34" i="17" s="1" a="1"/>
  <c r="H34" i="17" s="1"/>
  <c r="H23" i="17"/>
  <c r="J41" i="17" l="1" a="1"/>
  <c r="J41" i="17" s="1"/>
  <c r="J40" i="17" a="1"/>
  <c r="J40" i="17" s="1"/>
  <c r="H33" i="17" a="1"/>
  <c r="H33" i="17" s="1"/>
  <c r="H32" i="17" a="1"/>
  <c r="H32" i="17" s="1"/>
  <c r="H27" i="17"/>
  <c r="I25" i="17" l="1"/>
  <c r="I24" i="17"/>
  <c r="H35" i="17"/>
  <c r="I31" i="17" s="1"/>
  <c r="I34" i="17" s="1" a="1"/>
  <c r="I34" i="17" s="1"/>
  <c r="J43" i="17"/>
  <c r="K39" i="17" s="1"/>
  <c r="I23" i="17"/>
  <c r="K40" i="17" l="1" a="1"/>
  <c r="K40" i="17" s="1"/>
  <c r="K42" i="17"/>
  <c r="K41" i="17" a="1"/>
  <c r="K41" i="17" s="1"/>
  <c r="I33" i="17" a="1"/>
  <c r="I33" i="17" s="1"/>
  <c r="I32" i="17" a="1"/>
  <c r="I32" i="17" s="1"/>
  <c r="I27" i="17"/>
  <c r="J25" i="17" l="1"/>
  <c r="J24" i="17"/>
  <c r="K43" i="17"/>
  <c r="L39" i="17" s="1"/>
  <c r="L42" i="17" s="1"/>
  <c r="I35" i="17"/>
  <c r="J31" i="17" s="1"/>
  <c r="J34" i="17" s="1" a="1"/>
  <c r="J34" i="17" s="1"/>
  <c r="J23" i="17"/>
  <c r="L41" i="17" l="1" a="1"/>
  <c r="L41" i="17" s="1"/>
  <c r="L40" i="17" a="1"/>
  <c r="L40" i="17" s="1"/>
  <c r="J33" i="17" a="1"/>
  <c r="J33" i="17" s="1"/>
  <c r="J32" i="17" a="1"/>
  <c r="J32" i="17" s="1"/>
  <c r="J27" i="17"/>
  <c r="K25" i="17" l="1"/>
  <c r="K24" i="17"/>
  <c r="L43" i="17"/>
  <c r="M39" i="17" s="1"/>
  <c r="M41" i="17" s="1" a="1"/>
  <c r="M41" i="17" s="1"/>
  <c r="J35" i="17"/>
  <c r="K31" i="17" s="1"/>
  <c r="K34" i="17" s="1" a="1"/>
  <c r="K34" i="17" s="1"/>
  <c r="K23" i="17"/>
  <c r="M40" i="17" l="1" a="1"/>
  <c r="M40" i="17" s="1"/>
  <c r="M42" i="17"/>
  <c r="K33" i="17" a="1"/>
  <c r="K33" i="17" s="1"/>
  <c r="K32" i="17" a="1"/>
  <c r="K32" i="17" s="1"/>
  <c r="K27" i="17"/>
  <c r="L25" i="17" l="1"/>
  <c r="L24" i="17"/>
  <c r="M43" i="17"/>
  <c r="N39" i="17" s="1"/>
  <c r="N41" i="17" s="1" a="1"/>
  <c r="N41" i="17" s="1"/>
  <c r="K35" i="17"/>
  <c r="L31" i="17" s="1"/>
  <c r="L34" i="17" s="1" a="1"/>
  <c r="L34" i="17" s="1"/>
  <c r="L23" i="17"/>
  <c r="N40" i="17" l="1" a="1"/>
  <c r="N40" i="17" s="1"/>
  <c r="N43" i="17" s="1"/>
  <c r="O39" i="17" s="1"/>
  <c r="N42" i="17"/>
  <c r="L33" i="17" a="1"/>
  <c r="L33" i="17" s="1"/>
  <c r="L32" i="17" a="1"/>
  <c r="L32" i="17" s="1"/>
  <c r="L27" i="17"/>
  <c r="M25" i="17" l="1"/>
  <c r="M24" i="17"/>
  <c r="O41" i="17" a="1"/>
  <c r="O41" i="17" s="1"/>
  <c r="O42" i="17"/>
  <c r="O40" i="17" a="1"/>
  <c r="O40" i="17" s="1"/>
  <c r="O43" i="17" s="1"/>
  <c r="P39" i="17" s="1"/>
  <c r="L35" i="17"/>
  <c r="M31" i="17" s="1"/>
  <c r="M34" i="17" s="1" a="1"/>
  <c r="M34" i="17" s="1"/>
  <c r="M23" i="17"/>
  <c r="P41" i="17" l="1" a="1"/>
  <c r="P41" i="17" s="1"/>
  <c r="P42" i="17"/>
  <c r="P40" i="17" a="1"/>
  <c r="P40" i="17" s="1"/>
  <c r="P43" i="17" s="1"/>
  <c r="Q39" i="17" s="1"/>
  <c r="M33" i="17" a="1"/>
  <c r="M33" i="17" s="1"/>
  <c r="M32" i="17" a="1"/>
  <c r="M32" i="17" s="1"/>
  <c r="M27" i="17"/>
  <c r="N25" i="17" l="1"/>
  <c r="N24" i="17"/>
  <c r="Q42" i="17"/>
  <c r="Q41" i="17" a="1"/>
  <c r="Q41" i="17" s="1"/>
  <c r="Q40" i="17" a="1"/>
  <c r="Q40" i="17" s="1"/>
  <c r="M35" i="17"/>
  <c r="N31" i="17" s="1"/>
  <c r="N34" i="17" s="1" a="1"/>
  <c r="N34" i="17" s="1"/>
  <c r="N23" i="17"/>
  <c r="N33" i="17" l="1" a="1"/>
  <c r="N33" i="17" s="1"/>
  <c r="N32" i="17" a="1"/>
  <c r="N32" i="17" s="1"/>
  <c r="N27" i="17"/>
  <c r="Q43" i="17"/>
  <c r="R39" i="17" s="1"/>
  <c r="O25" i="17" l="1"/>
  <c r="O24" i="17"/>
  <c r="R42" i="17"/>
  <c r="R40" i="17" a="1"/>
  <c r="R40" i="17" s="1"/>
  <c r="R41" i="17" a="1"/>
  <c r="R41" i="17" s="1"/>
  <c r="N35" i="17"/>
  <c r="O31" i="17" s="1"/>
  <c r="O34" i="17" s="1" a="1"/>
  <c r="O34" i="17" s="1"/>
  <c r="O23" i="17"/>
  <c r="O33" i="17" l="1" a="1"/>
  <c r="O33" i="17" s="1"/>
  <c r="O32" i="17" a="1"/>
  <c r="O32" i="17" s="1"/>
  <c r="O27" i="17"/>
  <c r="R43" i="17"/>
  <c r="S39" i="17" s="1"/>
  <c r="P25" i="17" l="1"/>
  <c r="P24" i="17"/>
  <c r="S42" i="17"/>
  <c r="S41" i="17" a="1"/>
  <c r="S41" i="17" s="1"/>
  <c r="S40" i="17" a="1"/>
  <c r="S40" i="17" s="1"/>
  <c r="O35" i="17"/>
  <c r="P31" i="17" s="1"/>
  <c r="P34" i="17" s="1" a="1"/>
  <c r="P34" i="17" s="1"/>
  <c r="P23" i="17"/>
  <c r="P33" i="17" l="1" a="1"/>
  <c r="P33" i="17" s="1"/>
  <c r="P32" i="17" a="1"/>
  <c r="P32" i="17" s="1"/>
  <c r="P27" i="17"/>
  <c r="S43" i="17"/>
  <c r="T39" i="17" s="1"/>
  <c r="Q25" i="17" l="1"/>
  <c r="Q24" i="17"/>
  <c r="T42" i="17"/>
  <c r="T40" i="17" a="1"/>
  <c r="T40" i="17" s="1"/>
  <c r="T41" i="17" a="1"/>
  <c r="T41" i="17" s="1"/>
  <c r="P35" i="17"/>
  <c r="Q31" i="17" s="1"/>
  <c r="Q34" i="17" s="1" a="1"/>
  <c r="Q34" i="17" s="1"/>
  <c r="Q23" i="17"/>
  <c r="Q33" i="17" l="1" a="1"/>
  <c r="Q33" i="17" s="1"/>
  <c r="Q32" i="17" a="1"/>
  <c r="Q32" i="17" s="1"/>
  <c r="Q27" i="17"/>
  <c r="T43" i="17"/>
  <c r="U39" i="17" s="1"/>
  <c r="R25" i="17" l="1"/>
  <c r="R24" i="17"/>
  <c r="U42" i="17"/>
  <c r="U41" i="17" a="1"/>
  <c r="U41" i="17" s="1"/>
  <c r="U40" i="17" a="1"/>
  <c r="U40" i="17" s="1"/>
  <c r="U43" i="17" s="1"/>
  <c r="V39" i="17" s="1"/>
  <c r="Q35" i="17"/>
  <c r="R31" i="17" s="1"/>
  <c r="R34" i="17" s="1" a="1"/>
  <c r="R34" i="17" s="1"/>
  <c r="R23" i="17"/>
  <c r="V42" i="17" l="1"/>
  <c r="V40" i="17" a="1"/>
  <c r="V40" i="17" s="1"/>
  <c r="V43" i="17" s="1"/>
  <c r="W39" i="17" s="1"/>
  <c r="V41" i="17" a="1"/>
  <c r="V41" i="17" s="1"/>
  <c r="R33" i="17" a="1"/>
  <c r="R33" i="17" s="1"/>
  <c r="R32" i="17" a="1"/>
  <c r="R32" i="17" s="1"/>
  <c r="R27" i="17"/>
  <c r="S25" i="17" l="1"/>
  <c r="S24" i="17"/>
  <c r="W42" i="17"/>
  <c r="W41" i="17" a="1"/>
  <c r="W41" i="17" s="1"/>
  <c r="W40" i="17" a="1"/>
  <c r="W40" i="17" s="1"/>
  <c r="R35" i="17"/>
  <c r="S31" i="17" s="1"/>
  <c r="S34" i="17" s="1" a="1"/>
  <c r="S34" i="17" s="1"/>
  <c r="S23" i="17"/>
  <c r="S33" i="17" l="1" a="1"/>
  <c r="S33" i="17" s="1"/>
  <c r="S32" i="17" a="1"/>
  <c r="S32" i="17" s="1"/>
  <c r="S27" i="17"/>
  <c r="W43" i="17"/>
  <c r="X39" i="17" s="1"/>
  <c r="T25" i="17" l="1"/>
  <c r="T24" i="17"/>
  <c r="X40" i="17" a="1"/>
  <c r="X40" i="17" s="1"/>
  <c r="X42" i="17"/>
  <c r="X41" i="17" a="1"/>
  <c r="X41" i="17" s="1"/>
  <c r="S35" i="17"/>
  <c r="T31" i="17" s="1"/>
  <c r="T34" i="17" s="1" a="1"/>
  <c r="T34" i="17" s="1"/>
  <c r="T23" i="17"/>
  <c r="T33" i="17" l="1" a="1"/>
  <c r="T33" i="17" s="1"/>
  <c r="T32" i="17" a="1"/>
  <c r="T32" i="17" s="1"/>
  <c r="T27" i="17"/>
  <c r="X43" i="17"/>
  <c r="Y39" i="17" s="1"/>
  <c r="D32" i="1"/>
  <c r="D33" i="1" s="1"/>
  <c r="U25" i="17" l="1"/>
  <c r="U24" i="17"/>
  <c r="Y40" i="17" a="1"/>
  <c r="Y40" i="17" s="1"/>
  <c r="Y42" i="17"/>
  <c r="Y41" i="17" a="1"/>
  <c r="Y41" i="17" s="1"/>
  <c r="T35" i="17"/>
  <c r="U31" i="17" s="1"/>
  <c r="U34" i="17" s="1" a="1"/>
  <c r="U34" i="17" s="1"/>
  <c r="U23" i="17"/>
  <c r="AH32" i="1"/>
  <c r="U33" i="17" l="1" a="1"/>
  <c r="U33" i="17" s="1"/>
  <c r="U32" i="17" a="1"/>
  <c r="U32" i="17" s="1"/>
  <c r="U27" i="17"/>
  <c r="Y43" i="17"/>
  <c r="Z39" i="17" s="1"/>
  <c r="AH33" i="1"/>
  <c r="V25" i="17" l="1"/>
  <c r="V24" i="17"/>
  <c r="Z42" i="17"/>
  <c r="Z40" i="17" a="1"/>
  <c r="Z40" i="17" s="1"/>
  <c r="Z41" i="17" a="1"/>
  <c r="Z41" i="17" s="1"/>
  <c r="U35" i="17"/>
  <c r="V31" i="17" s="1"/>
  <c r="V34" i="17" s="1" a="1"/>
  <c r="V34" i="17" s="1"/>
  <c r="V23" i="17"/>
  <c r="V33" i="17" l="1" a="1"/>
  <c r="V33" i="17" s="1"/>
  <c r="V32" i="17" a="1"/>
  <c r="V32" i="17" s="1"/>
  <c r="V27" i="17"/>
  <c r="Z43" i="17"/>
  <c r="AA39" i="17" s="1"/>
  <c r="D57" i="15"/>
  <c r="W25" i="17" l="1"/>
  <c r="W24" i="17"/>
  <c r="AA42" i="17"/>
  <c r="AA40" i="17" a="1"/>
  <c r="AA40" i="17" s="1"/>
  <c r="AA41" i="17" a="1"/>
  <c r="AA41" i="17" s="1"/>
  <c r="V35" i="17"/>
  <c r="W31" i="17" s="1"/>
  <c r="W34" i="17" s="1" a="1"/>
  <c r="W34" i="17" s="1"/>
  <c r="W23" i="17"/>
  <c r="W33" i="17" l="1" a="1"/>
  <c r="W33" i="17" s="1"/>
  <c r="W32" i="17" a="1"/>
  <c r="W32" i="17" s="1"/>
  <c r="W27" i="17"/>
  <c r="E59" i="15"/>
  <c r="E61" i="15" s="1"/>
  <c r="AA43" i="17"/>
  <c r="AB39" i="17" s="1"/>
  <c r="D61" i="15"/>
  <c r="B7" i="16" s="1"/>
  <c r="X25" i="17" l="1"/>
  <c r="X24" i="17"/>
  <c r="AB42" i="17"/>
  <c r="AB41" i="17" a="1"/>
  <c r="AB41" i="17" s="1"/>
  <c r="AB40" i="17" a="1"/>
  <c r="AB40" i="17" s="1"/>
  <c r="W35" i="17"/>
  <c r="X31" i="17" s="1"/>
  <c r="X34" i="17" s="1" a="1"/>
  <c r="X34" i="17" s="1"/>
  <c r="X23" i="17"/>
  <c r="B24" i="16"/>
  <c r="B27" i="16" s="1"/>
  <c r="B5" i="1"/>
  <c r="X33" i="17" l="1" a="1"/>
  <c r="X33" i="17" s="1"/>
  <c r="X32" i="17" a="1"/>
  <c r="X32" i="17" s="1"/>
  <c r="X27" i="17"/>
  <c r="AB43" i="17"/>
  <c r="AC39" i="17" s="1"/>
  <c r="Y25" i="17" l="1"/>
  <c r="Y24" i="17"/>
  <c r="AC42" i="17"/>
  <c r="AC40" i="17" a="1"/>
  <c r="AC40" i="17" s="1"/>
  <c r="AC41" i="17" a="1"/>
  <c r="AC41" i="17" s="1"/>
  <c r="X35" i="17"/>
  <c r="Y31" i="17" s="1"/>
  <c r="Y34" i="17" s="1" a="1"/>
  <c r="Y34" i="17" s="1"/>
  <c r="Y23" i="17"/>
  <c r="Y33" i="17" l="1" a="1"/>
  <c r="Y33" i="17" s="1"/>
  <c r="Y32" i="17" a="1"/>
  <c r="Y32" i="17" s="1"/>
  <c r="Y27" i="17"/>
  <c r="AC43" i="17"/>
  <c r="AD39" i="17" s="1"/>
  <c r="Z25" i="17" l="1"/>
  <c r="Z24" i="17"/>
  <c r="AD42" i="17"/>
  <c r="AD40" i="17" a="1"/>
  <c r="AD40" i="17" s="1"/>
  <c r="AD43" i="17" s="1"/>
  <c r="AE39" i="17" s="1"/>
  <c r="AD41" i="17" a="1"/>
  <c r="AD41" i="17" s="1"/>
  <c r="Y35" i="17"/>
  <c r="Z31" i="17" s="1"/>
  <c r="Z34" i="17" s="1" a="1"/>
  <c r="Z34" i="17" s="1"/>
  <c r="Z23" i="17"/>
  <c r="AE42" i="17" l="1"/>
  <c r="AE41" i="17" a="1"/>
  <c r="AE41" i="17" s="1"/>
  <c r="AE40" i="17" a="1"/>
  <c r="AE40" i="17" s="1"/>
  <c r="Z33" i="17" a="1"/>
  <c r="Z33" i="17" s="1"/>
  <c r="Z32" i="17" a="1"/>
  <c r="Z32" i="17" s="1"/>
  <c r="Z27" i="17"/>
  <c r="AA25" i="17" l="1"/>
  <c r="AA24" i="17"/>
  <c r="Z35" i="17"/>
  <c r="AA31" i="17" s="1"/>
  <c r="AA34" i="17" s="1" a="1"/>
  <c r="AA34" i="17" s="1"/>
  <c r="AE43" i="17"/>
  <c r="AA23" i="17"/>
  <c r="C18" i="17"/>
  <c r="C19" i="17" s="1"/>
  <c r="D15" i="17" s="1"/>
  <c r="AA33" i="17" l="1" a="1"/>
  <c r="AA33" i="17" s="1"/>
  <c r="AA32" i="17" a="1"/>
  <c r="AA32" i="17" s="1"/>
  <c r="AA27" i="17"/>
  <c r="D18" i="17"/>
  <c r="D19" i="17" s="1"/>
  <c r="E15" i="17" s="1"/>
  <c r="AB25" i="17" l="1"/>
  <c r="AB24" i="17"/>
  <c r="AA35" i="17"/>
  <c r="AB31" i="17" s="1"/>
  <c r="AB34" i="17" s="1" a="1"/>
  <c r="AB34" i="17" s="1"/>
  <c r="AB23" i="17"/>
  <c r="E18" i="17"/>
  <c r="E19" i="17" s="1"/>
  <c r="F15" i="17" s="1"/>
  <c r="AB33" i="17" l="1" a="1"/>
  <c r="AB33" i="17" s="1"/>
  <c r="AB32" i="17" a="1"/>
  <c r="AB32" i="17" s="1"/>
  <c r="AB27" i="17"/>
  <c r="F18" i="17"/>
  <c r="F19" i="17" s="1"/>
  <c r="G15" i="17" s="1"/>
  <c r="AC25" i="17" l="1"/>
  <c r="AC24" i="17"/>
  <c r="AB35" i="17"/>
  <c r="AC31" i="17" s="1"/>
  <c r="AC34" i="17" s="1" a="1"/>
  <c r="AC34" i="17" s="1"/>
  <c r="AC23" i="17"/>
  <c r="G18" i="17"/>
  <c r="G19" i="17" s="1"/>
  <c r="H15" i="17" s="1"/>
  <c r="AC33" i="17" l="1" a="1"/>
  <c r="AC33" i="17" s="1"/>
  <c r="AC32" i="17" a="1"/>
  <c r="AC32" i="17" s="1"/>
  <c r="AC27" i="17"/>
  <c r="H18" i="17"/>
  <c r="H19" i="17" s="1"/>
  <c r="I15" i="17" s="1"/>
  <c r="AD25" i="17" l="1"/>
  <c r="AD24" i="17"/>
  <c r="AC35" i="17"/>
  <c r="AD31" i="17" s="1"/>
  <c r="AD34" i="17" s="1" a="1"/>
  <c r="AD34" i="17" s="1"/>
  <c r="AD23" i="17"/>
  <c r="I18" i="17"/>
  <c r="I19" i="17" s="1"/>
  <c r="J15" i="17" s="1"/>
  <c r="AD33" i="17" l="1" a="1"/>
  <c r="AD33" i="17" s="1"/>
  <c r="AD32" i="17" a="1"/>
  <c r="AD32" i="17" s="1"/>
  <c r="AD27" i="17"/>
  <c r="J18" i="17"/>
  <c r="J19" i="17" s="1"/>
  <c r="K15" i="17" s="1"/>
  <c r="AE25" i="17" l="1"/>
  <c r="AE24" i="17"/>
  <c r="AD35" i="17"/>
  <c r="AE31" i="17" s="1"/>
  <c r="AE34" i="17" s="1" a="1"/>
  <c r="AE34" i="17" s="1"/>
  <c r="AE23" i="17"/>
  <c r="K18" i="17"/>
  <c r="K19" i="17" s="1"/>
  <c r="L15" i="17" s="1"/>
  <c r="AE33" i="17" l="1" a="1"/>
  <c r="AE33" i="17" s="1"/>
  <c r="AE32" i="17" a="1"/>
  <c r="AE32" i="17" s="1"/>
  <c r="AE27" i="17"/>
  <c r="L18" i="17"/>
  <c r="L19" i="17" s="1"/>
  <c r="M15" i="17" s="1"/>
  <c r="AE35" i="17" l="1"/>
  <c r="M18" i="17"/>
  <c r="M19" i="17" s="1"/>
  <c r="N15" i="17" s="1"/>
  <c r="N18" i="17" l="1"/>
  <c r="N19" i="17" s="1"/>
  <c r="O15" i="17" s="1"/>
  <c r="O18" i="17" l="1"/>
  <c r="O19" i="17" s="1"/>
  <c r="P15" i="17" s="1"/>
  <c r="P18" i="17" l="1"/>
  <c r="P19" i="17" s="1"/>
  <c r="Q15" i="17" s="1"/>
  <c r="Q18" i="17" l="1"/>
  <c r="Q19" i="17" s="1"/>
  <c r="R15" i="17" s="1"/>
  <c r="R18" i="17" l="1"/>
  <c r="R19" i="17" s="1"/>
  <c r="S15" i="17" s="1"/>
  <c r="S18" i="17" l="1"/>
  <c r="S19" i="17" s="1"/>
  <c r="T15" i="17" s="1"/>
  <c r="T18" i="17" l="1"/>
  <c r="T19" i="17" s="1"/>
  <c r="U15" i="17" s="1"/>
  <c r="U18" i="17" l="1"/>
  <c r="U19" i="17" s="1"/>
  <c r="V15" i="17" s="1"/>
  <c r="V18" i="17" l="1"/>
  <c r="V19" i="17" s="1"/>
  <c r="W15" i="17" s="1"/>
  <c r="W18" i="17" l="1"/>
  <c r="W19" i="17" s="1"/>
  <c r="X15" i="17" s="1"/>
  <c r="X18" i="17" l="1"/>
  <c r="X19" i="17" s="1"/>
  <c r="Y15" i="17" s="1"/>
  <c r="Y18" i="17" l="1"/>
  <c r="Y19" i="17" s="1"/>
  <c r="Z15" i="17" s="1"/>
  <c r="Z18" i="17" l="1"/>
  <c r="Z19" i="17" s="1"/>
  <c r="AA15" i="17" s="1"/>
  <c r="AA18" i="17" l="1"/>
  <c r="AA19" i="17" s="1"/>
  <c r="AB15" i="17" s="1"/>
  <c r="AB18" i="17" l="1"/>
  <c r="AB19" i="17" s="1"/>
  <c r="AC15" i="17" s="1"/>
  <c r="AC18" i="17" l="1"/>
  <c r="AC19" i="17" s="1"/>
  <c r="AD15" i="17" s="1"/>
  <c r="AD18" i="17" l="1"/>
  <c r="AD19" i="17" s="1"/>
  <c r="AE15" i="17" s="1"/>
  <c r="AE18" i="17" l="1"/>
  <c r="AE1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Brittany K Piper</author>
  </authors>
  <commentList>
    <comment ref="J7" authorId="0" shapeId="0" xr:uid="{829FDAA4-9B3C-4A84-9393-B3C58DA476E9}">
      <text>
        <r>
          <rPr>
            <b/>
            <sz val="9"/>
            <color indexed="81"/>
            <rFont val="Tahoma"/>
            <charset val="1"/>
          </rPr>
          <t>Brittany K Piper:</t>
        </r>
        <r>
          <rPr>
            <sz val="9"/>
            <color indexed="81"/>
            <rFont val="Tahoma"/>
            <charset val="1"/>
          </rPr>
          <t xml:space="preserve">
Enter number of MONTHS of construction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<sst xmlns="http://schemas.openxmlformats.org/spreadsheetml/2006/main" count="586" uniqueCount="355">
  <si>
    <t>OPERATING BUDGET</t>
  </si>
  <si>
    <t>PART I:  INCOME</t>
  </si>
  <si>
    <t>Unit Type</t>
  </si>
  <si>
    <t>Monthly Rent</t>
  </si>
  <si>
    <t>Income Basis</t>
  </si>
  <si>
    <t>Unit Size</t>
  </si>
  <si>
    <t>Unit Name/Description</t>
  </si>
  <si>
    <t># Bedrooms</t>
  </si>
  <si>
    <t># Baths</t>
  </si>
  <si>
    <t># Units</t>
  </si>
  <si>
    <t>Gross Monthly Rent / Unit</t>
  </si>
  <si>
    <t>(Less) Tenant Utility Allowance</t>
  </si>
  <si>
    <t>UNIT Net Monthly Rent</t>
  </si>
  <si>
    <t>TOTAL Net Monthly Rent</t>
  </si>
  <si>
    <t>Maximum Monthly Rent</t>
  </si>
  <si>
    <t>Rent Limit Verification</t>
  </si>
  <si>
    <t>Residential* Finished Sq. Ft.</t>
  </si>
  <si>
    <t>Total Sq. Ft.</t>
  </si>
  <si>
    <t>New Construction Minimum Size Requirements</t>
  </si>
  <si>
    <t>PROGRAM-ASSISTED UNITS | QUALIFYING POPULATIONS ONLY</t>
  </si>
  <si>
    <t>Min. Sq. Ft.</t>
  </si>
  <si>
    <t>Left intentionally blank</t>
  </si>
  <si>
    <t>Single-Room Occupancy</t>
  </si>
  <si>
    <t>Studio/Efficiency</t>
  </si>
  <si>
    <t>SUBTOTAL UNITS</t>
  </si>
  <si>
    <t>SUBTOTAL RENT</t>
  </si>
  <si>
    <t>SUBTOTAL
SQ. FT.</t>
  </si>
  <si>
    <t>PROGRAM-ASSISTED UNITS | LOW-INCOME UNITS ONLY</t>
  </si>
  <si>
    <t>MARKET-RATE UNITS</t>
  </si>
  <si>
    <t>Total Number of Units</t>
  </si>
  <si>
    <t>Gross Annual Rent</t>
  </si>
  <si>
    <t>Total Residential Living Space</t>
  </si>
  <si>
    <t>PART II:  EXPENSES</t>
  </si>
  <si>
    <t>ADMINISTRATIVE</t>
  </si>
  <si>
    <t>Assumption</t>
  </si>
  <si>
    <t>Annual</t>
  </si>
  <si>
    <t>Per Unit</t>
  </si>
  <si>
    <t>Administrative Payroll</t>
  </si>
  <si>
    <t>Maintenance Payroll</t>
  </si>
  <si>
    <t>Fringe</t>
  </si>
  <si>
    <t>Payroll Taxes</t>
  </si>
  <si>
    <t>Management Fee</t>
  </si>
  <si>
    <t>Employee Education/Training</t>
  </si>
  <si>
    <t>Advertising &amp; Marketing</t>
  </si>
  <si>
    <t>Administrative</t>
  </si>
  <si>
    <t>Office Supplies</t>
  </si>
  <si>
    <t>Legal</t>
  </si>
  <si>
    <t>Accounting</t>
  </si>
  <si>
    <t>Credit Checks</t>
  </si>
  <si>
    <t>Leasing Fees</t>
  </si>
  <si>
    <t>Other</t>
  </si>
  <si>
    <t>MAINTENANCE</t>
  </si>
  <si>
    <t>Decorating</t>
  </si>
  <si>
    <t>Painting &amp; Repairs</t>
  </si>
  <si>
    <t>Security</t>
  </si>
  <si>
    <t>Grounds (landscaping)</t>
  </si>
  <si>
    <t>Building Supplies</t>
  </si>
  <si>
    <t>Elevator</t>
  </si>
  <si>
    <t>Service Contracts (HVAC)</t>
  </si>
  <si>
    <t>OPERATING</t>
  </si>
  <si>
    <t>Gas</t>
  </si>
  <si>
    <t>Electric</t>
  </si>
  <si>
    <t>Water/Sewer</t>
  </si>
  <si>
    <t>Trash Removal</t>
  </si>
  <si>
    <t>Internet/Telephone</t>
  </si>
  <si>
    <t>Janitorial</t>
  </si>
  <si>
    <t>Exterminating</t>
  </si>
  <si>
    <t>Snow Removal</t>
  </si>
  <si>
    <t>TAXES &amp; INSURANCE</t>
  </si>
  <si>
    <t>Real Estate Taxes</t>
  </si>
  <si>
    <t>Insurance</t>
  </si>
  <si>
    <t>Other Taxes, Licenses, Fees</t>
  </si>
  <si>
    <t>RESERVES</t>
  </si>
  <si>
    <t>Replacement Reserves</t>
  </si>
  <si>
    <t>Projected Deficit (QP Units Only)</t>
  </si>
  <si>
    <t>TOTAL EXPENSES</t>
  </si>
  <si>
    <t>Leveraged Financing Sources</t>
  </si>
  <si>
    <t>SUMMARY</t>
  </si>
  <si>
    <t>Payment Interval Periods</t>
  </si>
  <si>
    <t>Payments Due at:</t>
  </si>
  <si>
    <t>Indicate financing sources leveraged by the project:</t>
  </si>
  <si>
    <t>Source:</t>
  </si>
  <si>
    <t>Loan Amount</t>
  </si>
  <si>
    <t>Interest Rate</t>
  </si>
  <si>
    <t>Amortization Term (yrs)</t>
  </si>
  <si>
    <t>Loan Term (yrs)</t>
  </si>
  <si>
    <t>Year Payments Begin</t>
  </si>
  <si>
    <t>Years Interest Only</t>
  </si>
  <si>
    <t>Origination Fee</t>
  </si>
  <si>
    <t>Payment Interval</t>
  </si>
  <si>
    <t>Payments Due</t>
  </si>
  <si>
    <t>Annual Debt Service</t>
  </si>
  <si>
    <t>Construction Interest</t>
  </si>
  <si>
    <t>Loan Origination Fee</t>
  </si>
  <si>
    <t>Weekly</t>
  </si>
  <si>
    <t>End of Period</t>
  </si>
  <si>
    <t>Construction Loan</t>
  </si>
  <si>
    <t>Monthly</t>
  </si>
  <si>
    <t>Beginning of Period</t>
  </si>
  <si>
    <t>Conventional Loan</t>
  </si>
  <si>
    <t>Semi-monthly</t>
  </si>
  <si>
    <t>Interest-Only Loan</t>
  </si>
  <si>
    <t>Quarterly</t>
  </si>
  <si>
    <t>Deferred Loan</t>
  </si>
  <si>
    <t>Semi-annual</t>
  </si>
  <si>
    <t>Deferred Developer Fee</t>
  </si>
  <si>
    <t>CONVENTIONAL LOAN</t>
  </si>
  <si>
    <t>Beginning Balance</t>
  </si>
  <si>
    <t>(-) Principal Payment</t>
  </si>
  <si>
    <t>(-) Interest Payment</t>
  </si>
  <si>
    <t>(+) Accrued Interest</t>
  </si>
  <si>
    <t>Ending Balance</t>
  </si>
  <si>
    <t>INTEREST-ONLY LOAN</t>
  </si>
  <si>
    <t>DEFERRED LOAN</t>
  </si>
  <si>
    <t>DEFERRED DEVELOPER FEE</t>
  </si>
  <si>
    <t>PROJECT COST SUMMARY</t>
  </si>
  <si>
    <t>PROJECT CATEGORIES</t>
  </si>
  <si>
    <t>PROJECT
COSTS</t>
  </si>
  <si>
    <t>HOME-ARP
ELIGIBLE COSTS</t>
  </si>
  <si>
    <t>PROPERTY ACQUISITION</t>
  </si>
  <si>
    <t>Acquisition - Land</t>
  </si>
  <si>
    <t>Acquisition - Buildings</t>
  </si>
  <si>
    <t>SITE WORK</t>
  </si>
  <si>
    <t>On-Site Work</t>
  </si>
  <si>
    <t>Off-Site Work (e.g., street, curb)</t>
  </si>
  <si>
    <t>REHABILITATION/CONSTRUCTION</t>
  </si>
  <si>
    <t>New Construction Costs</t>
  </si>
  <si>
    <t>Rehabilitation Costs</t>
  </si>
  <si>
    <t>Bond Premium</t>
  </si>
  <si>
    <t>Construction Contingency</t>
  </si>
  <si>
    <t>OTHER DEPRECIABLE COSTS</t>
  </si>
  <si>
    <t>Furniture, Fixtures, &amp; Equipment</t>
  </si>
  <si>
    <t>PROFESSIONAL FEES</t>
  </si>
  <si>
    <t>Building Permits, License, &amp; Fees</t>
  </si>
  <si>
    <t>Architect Fee (Design/Supervision)</t>
  </si>
  <si>
    <t>Impact Fees</t>
  </si>
  <si>
    <t>Engineering</t>
  </si>
  <si>
    <t>Environmental Site-Specific Review</t>
  </si>
  <si>
    <t>Acquisition Closing - Legal and Recording Fees</t>
  </si>
  <si>
    <t>Title Search &amp; Title Insurance</t>
  </si>
  <si>
    <t>Survey</t>
  </si>
  <si>
    <t>Accounting/Cost Certification</t>
  </si>
  <si>
    <t>Appraisal/Market Studies/Consulting</t>
  </si>
  <si>
    <t>INTERIM COSTS</t>
  </si>
  <si>
    <t>Builder's Risk and/or Casualty Insurance</t>
  </si>
  <si>
    <t>TIF Admin Fee</t>
  </si>
  <si>
    <t>Utilities</t>
  </si>
  <si>
    <t>Site Security</t>
  </si>
  <si>
    <t>Grounds Maintenance</t>
  </si>
  <si>
    <t>Construction Loan Fee</t>
  </si>
  <si>
    <t>COCAR Line of Credit Interest</t>
  </si>
  <si>
    <t>COCAR Line of Credit Loan Fee</t>
  </si>
  <si>
    <t>PERMANENT FINANCING EXPENSES</t>
  </si>
  <si>
    <t>Permanent Loan Fees</t>
  </si>
  <si>
    <t>Tax Credit Fees</t>
  </si>
  <si>
    <t>START-UP EXPENSES</t>
  </si>
  <si>
    <t>Organizational Expense</t>
  </si>
  <si>
    <t>Marketing Costs</t>
  </si>
  <si>
    <t>SYNDICATION COSTS</t>
  </si>
  <si>
    <t>Syndication Legal Fee</t>
  </si>
  <si>
    <t>Tax Opinions, Other Fees, Etc.</t>
  </si>
  <si>
    <t>PROJECT RESERVES</t>
  </si>
  <si>
    <t>Replacement Reserve</t>
  </si>
  <si>
    <t>Lease-Up Reserve</t>
  </si>
  <si>
    <t>Operating Cost Assistance Reserve</t>
  </si>
  <si>
    <t>Operating Reserve (Non-QP Units)</t>
  </si>
  <si>
    <t>Other/Contingency</t>
  </si>
  <si>
    <t>DEVELOPER'S FEES</t>
  </si>
  <si>
    <t>Developer's Fees</t>
  </si>
  <si>
    <t>General Partner's Fees</t>
  </si>
  <si>
    <t>TOTAL DEVELOPMENT COST =</t>
  </si>
  <si>
    <t>SOURCES &amp; USES</t>
  </si>
  <si>
    <t>USES</t>
  </si>
  <si>
    <t>TOTAL DEVELOPMENT COST (from PCS)</t>
  </si>
  <si>
    <t>SOURCES</t>
  </si>
  <si>
    <t>Tax Increment Financing</t>
  </si>
  <si>
    <t>Municipal Loan</t>
  </si>
  <si>
    <t>Other Federal Loans</t>
  </si>
  <si>
    <t>Owner Equity</t>
  </si>
  <si>
    <t>= TOTAL SOURCES</t>
  </si>
  <si>
    <t>Financing Gap Before Funding:</t>
  </si>
  <si>
    <t>HOME-ARP REQUEST</t>
  </si>
  <si>
    <t>FINANCING GAP IF AWARDED:</t>
  </si>
  <si>
    <t>DEVELOPER PRO FORMA</t>
  </si>
  <si>
    <t>Total Project Budget</t>
  </si>
  <si>
    <t>Income Escalation (%)</t>
  </si>
  <si>
    <t>Expense Escalation (%)</t>
  </si>
  <si>
    <t>Year 01</t>
  </si>
  <si>
    <t>Year 02</t>
  </si>
  <si>
    <t>Year 03</t>
  </si>
  <si>
    <t>Year 04</t>
  </si>
  <si>
    <t>Year 05</t>
  </si>
  <si>
    <t>Year 06</t>
  </si>
  <si>
    <t>Year 07</t>
  </si>
  <si>
    <t>Year 08</t>
  </si>
  <si>
    <t>Year 09</t>
  </si>
  <si>
    <t>Year 10</t>
  </si>
  <si>
    <t>Year 11</t>
  </si>
  <si>
    <t>Year 12</t>
  </si>
  <si>
    <t>Year 13</t>
  </si>
  <si>
    <t>Year 14</t>
  </si>
  <si>
    <t>Year 15</t>
  </si>
  <si>
    <t>Stabilized NOI</t>
  </si>
  <si>
    <t>REVENUE:</t>
  </si>
  <si>
    <t>(+) Gross Rental Income</t>
  </si>
  <si>
    <r>
      <t xml:space="preserve">(+) Other Income </t>
    </r>
    <r>
      <rPr>
        <sz val="10"/>
        <rFont val="Calibri"/>
        <family val="2"/>
        <scheme val="minor"/>
      </rPr>
      <t>(Laundry, Vending, Parking)</t>
    </r>
  </si>
  <si>
    <r>
      <t xml:space="preserve">(+) Miscellaneous </t>
    </r>
    <r>
      <rPr>
        <sz val="10"/>
        <rFont val="Calibri"/>
        <family val="2"/>
        <scheme val="minor"/>
      </rPr>
      <t>(App Fees, Credit Checks, Late Fees)</t>
    </r>
  </si>
  <si>
    <t>Potential Gross Revenue:</t>
  </si>
  <si>
    <t>Initial</t>
  </si>
  <si>
    <t>Stablized</t>
  </si>
  <si>
    <t>(-) General &amp; Turnover Vacancy</t>
  </si>
  <si>
    <t>(-) Bad Debt</t>
  </si>
  <si>
    <t>Effective Gross Income (EGI):</t>
  </si>
  <si>
    <t>EXPENSES:</t>
  </si>
  <si>
    <t>(-) Adminstrative</t>
  </si>
  <si>
    <t>(-) Maintenance</t>
  </si>
  <si>
    <t>(-) Operating</t>
  </si>
  <si>
    <t>(-) Taxes &amp; Insurance</t>
  </si>
  <si>
    <t>(-) Replacement &amp; Operating Reserves</t>
  </si>
  <si>
    <t>Net Operating Income (NOI):</t>
  </si>
  <si>
    <t>NOI Margin</t>
  </si>
  <si>
    <t>DEBT SERVICE (Annual P&amp;I Payments)</t>
  </si>
  <si>
    <t>= TOTAL DEBT SERVICE (D/S)</t>
  </si>
  <si>
    <t>Debt Service Coverage Ratio (DSCR)</t>
  </si>
  <si>
    <t>Determination of Income and Rent | Area Median Income</t>
  </si>
  <si>
    <t>County_Name</t>
  </si>
  <si>
    <t>fy23_eff_H</t>
  </si>
  <si>
    <t>fy23_1bd_H</t>
  </si>
  <si>
    <t>fy23_2bd_H</t>
  </si>
  <si>
    <t>fy23_3bd_H</t>
  </si>
  <si>
    <t>fy23_4bd_H</t>
  </si>
  <si>
    <t>fy23_5bd_H</t>
  </si>
  <si>
    <t>fy23_6bd_H</t>
  </si>
  <si>
    <t>fy23_eff_L</t>
  </si>
  <si>
    <t>fy23_1bd_L</t>
  </si>
  <si>
    <t>fy23_2bd_L</t>
  </si>
  <si>
    <t>fy23_3bd_L</t>
  </si>
  <si>
    <t>fy23_4bd_L</t>
  </si>
  <si>
    <t>fy23_5bd_L</t>
  </si>
  <si>
    <t>fy23_6bd_L</t>
  </si>
  <si>
    <t>Adams County</t>
  </si>
  <si>
    <t>HIGH</t>
  </si>
  <si>
    <t>LOW</t>
  </si>
  <si>
    <t>County:</t>
  </si>
  <si>
    <t>Antelope County</t>
  </si>
  <si>
    <t>Arthur County</t>
  </si>
  <si>
    <t>HIGH Home Rent</t>
  </si>
  <si>
    <t>LOW Home Rent</t>
  </si>
  <si>
    <t>Banner County</t>
  </si>
  <si>
    <t>51-80% AMI</t>
  </si>
  <si>
    <t>0-50% AMI</t>
  </si>
  <si>
    <t>Blaine County</t>
  </si>
  <si>
    <t>Efficiency</t>
  </si>
  <si>
    <t>Boone County</t>
  </si>
  <si>
    <t>Box Butte County</t>
  </si>
  <si>
    <t>Boyd County</t>
  </si>
  <si>
    <t>Brown County</t>
  </si>
  <si>
    <t>Buffalo County</t>
  </si>
  <si>
    <t>Burt County</t>
  </si>
  <si>
    <t>Butler County</t>
  </si>
  <si>
    <t>Cass County</t>
  </si>
  <si>
    <t>Cedar County</t>
  </si>
  <si>
    <t>HOME Rent Limits:</t>
  </si>
  <si>
    <t>Chase County</t>
  </si>
  <si>
    <t>https://www.hudexchange.info/programs/home/home-rent-limits/</t>
  </si>
  <si>
    <t>Cherry County</t>
  </si>
  <si>
    <t>Cheyenne County</t>
  </si>
  <si>
    <t>Clay County</t>
  </si>
  <si>
    <t>Colfax County</t>
  </si>
  <si>
    <t>Cuming County</t>
  </si>
  <si>
    <t>Custer County</t>
  </si>
  <si>
    <t>Dakota County</t>
  </si>
  <si>
    <t>Dawes County</t>
  </si>
  <si>
    <t>Dawson County</t>
  </si>
  <si>
    <t>Deuel County</t>
  </si>
  <si>
    <t>Dixon County</t>
  </si>
  <si>
    <t>Dodge County</t>
  </si>
  <si>
    <t>Douglas County</t>
  </si>
  <si>
    <t>Dundy County</t>
  </si>
  <si>
    <t>Fillmore County</t>
  </si>
  <si>
    <t>Franklin County</t>
  </si>
  <si>
    <t>Frontier County</t>
  </si>
  <si>
    <t>Furnas County</t>
  </si>
  <si>
    <t>Gage County</t>
  </si>
  <si>
    <t>Garden County</t>
  </si>
  <si>
    <t>Garfield County</t>
  </si>
  <si>
    <t>Gosper County</t>
  </si>
  <si>
    <t>Grant County</t>
  </si>
  <si>
    <t>Greeley County</t>
  </si>
  <si>
    <t xml:space="preserve">Hall County </t>
  </si>
  <si>
    <t>Hall County, NE HUD Metro FMR Area</t>
  </si>
  <si>
    <t>Hamilton County</t>
  </si>
  <si>
    <t>Harlan County</t>
  </si>
  <si>
    <t>Hayes County</t>
  </si>
  <si>
    <t>Hitchcock County</t>
  </si>
  <si>
    <t>Holt County</t>
  </si>
  <si>
    <t>Hooker County</t>
  </si>
  <si>
    <t>Howard County</t>
  </si>
  <si>
    <t>Howard County, NE HUD Metro FMR Area</t>
  </si>
  <si>
    <t>Jefferson County</t>
  </si>
  <si>
    <t>Johnson County</t>
  </si>
  <si>
    <t>Kearney County</t>
  </si>
  <si>
    <t>Keith County</t>
  </si>
  <si>
    <t>Keya Paha County</t>
  </si>
  <si>
    <t>Kimball County</t>
  </si>
  <si>
    <t>Knox County</t>
  </si>
  <si>
    <t>Lancaster County</t>
  </si>
  <si>
    <t>Lincoln County</t>
  </si>
  <si>
    <t>Lincoln, NE HUD Metro FMR Area</t>
  </si>
  <si>
    <t>Logan County</t>
  </si>
  <si>
    <t>Loup County</t>
  </si>
  <si>
    <t>Madison County</t>
  </si>
  <si>
    <t>McPherson County</t>
  </si>
  <si>
    <t>Merrick County</t>
  </si>
  <si>
    <t>Merrick County, NE HUD Metro FMR Area</t>
  </si>
  <si>
    <t>Morrill County</t>
  </si>
  <si>
    <t>Nance County</t>
  </si>
  <si>
    <t>Nemaha County</t>
  </si>
  <si>
    <t>Nuckolls County</t>
  </si>
  <si>
    <t>Omaha-Council Bluffs, NE-IA HUD Metro FMR Area</t>
  </si>
  <si>
    <t>Otoe County</t>
  </si>
  <si>
    <t>Pawnee County</t>
  </si>
  <si>
    <t>Perkins County</t>
  </si>
  <si>
    <t>Phelps County</t>
  </si>
  <si>
    <t>Pierce County</t>
  </si>
  <si>
    <t>Platte County</t>
  </si>
  <si>
    <t>Polk County</t>
  </si>
  <si>
    <t>Red Willow County</t>
  </si>
  <si>
    <t>Richardson County</t>
  </si>
  <si>
    <t>Rock County</t>
  </si>
  <si>
    <t>Saline County</t>
  </si>
  <si>
    <t>Sarpy County</t>
  </si>
  <si>
    <t>Saunders County</t>
  </si>
  <si>
    <t>Saunders County, NE HUD Metro FMR Area</t>
  </si>
  <si>
    <t>Scotts Bluff County</t>
  </si>
  <si>
    <t>Seward County</t>
  </si>
  <si>
    <t>Seward County, NE HUD Metro FMR Area</t>
  </si>
  <si>
    <t>Sheridan County</t>
  </si>
  <si>
    <t>Sherman County</t>
  </si>
  <si>
    <t>Sioux City, IA-NE-SD MSA</t>
  </si>
  <si>
    <t>Sioux County</t>
  </si>
  <si>
    <t>Stanton County</t>
  </si>
  <si>
    <t>Thayer County</t>
  </si>
  <si>
    <t>Thomas County</t>
  </si>
  <si>
    <t>Thurston County</t>
  </si>
  <si>
    <t>Valley County</t>
  </si>
  <si>
    <t>Washington County</t>
  </si>
  <si>
    <t>Wayne County</t>
  </si>
  <si>
    <t>Webster County</t>
  </si>
  <si>
    <t>Wheeler County</t>
  </si>
  <si>
    <t>York County</t>
  </si>
  <si>
    <t xml:space="preserve">Total QP Unit Expenses </t>
  </si>
  <si>
    <t xml:space="preserve">Projected QP Unit Net Revenue </t>
  </si>
  <si>
    <t>15-year Projected Deficit (QP Units Only):</t>
  </si>
  <si>
    <t>Annual Projected Deficit (QP Units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</si>
</sst>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_);\(0\)"/>
    <numFmt numFmtId="166" formatCode="_(* #,##0_);_(* \(#,##0\);_(* &quot;-&quot;??_);_(@_)"/>
    <numFmt numFmtId="167" formatCode="0.0%"/>
    <numFmt numFmtId="168" formatCode="&quot;Year &quot;00"/>
    <numFmt numFmtId="169" formatCode="0\ &quot;Bedroom(s)&quot;"/>
    <numFmt numFmtId="170" formatCode="0.000%"/>
  </numFmts>
  <fonts count="52">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24"/>
      <color theme="1"/>
      <name val="Calibri"/>
      <family val="2"/>
      <scheme val="minor"/>
    </font>
    <font>
      <sz val="11"/>
      <color theme="1" tint="0.499984740745262"/>
      <name val="Calibri"/>
      <family val="2"/>
      <scheme val="minor"/>
    </font>
    <font>
      <b/>
      <i/>
      <sz val="11"/>
      <color theme="1"/>
      <name val="Calibri"/>
      <family val="2"/>
      <scheme val="minor"/>
    </font>
    <font>
      <b/>
      <sz val="11"/>
      <name val="Calibri"/>
      <family val="2"/>
      <scheme val="minor"/>
    </font>
    <font>
      <sz val="11"/>
      <name val="Calibri"/>
      <family val="2"/>
      <scheme val="minor"/>
    </font>
    <font>
      <sz val="8"/>
      <color theme="1" tint="0.499984740745262"/>
      <name val="Calibri"/>
      <family val="2"/>
      <scheme val="minor"/>
    </font>
    <font>
      <b/>
      <u/>
      <sz val="16"/>
      <color theme="1"/>
      <name val="Calibri"/>
      <family val="2"/>
      <scheme val="minor"/>
    </font>
    <font>
      <sz val="8"/>
      <color theme="0" tint="-0.499984740745262"/>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11"/>
      <color theme="1"/>
      <name val="Calibri"/>
      <family val="2"/>
    </font>
    <font>
      <i/>
      <sz val="11"/>
      <name val="Calibri"/>
      <family val="2"/>
      <scheme val="minor"/>
    </font>
    <font>
      <b/>
      <sz val="16"/>
      <color theme="1"/>
      <name val="Calibri"/>
      <family val="2"/>
      <scheme val="minor"/>
    </font>
    <font>
      <sz val="10"/>
      <color rgb="FF000000"/>
      <name val="Times New Roman"/>
      <family val="1"/>
    </font>
    <font>
      <sz val="8"/>
      <name val="Calibri"/>
      <family val="2"/>
      <scheme val="minor"/>
    </font>
    <font>
      <sz val="10"/>
      <name val="Calibri"/>
      <family val="2"/>
      <scheme val="minor"/>
    </font>
    <font>
      <sz val="10"/>
      <name val="Arial"/>
      <family val="2"/>
    </font>
    <font>
      <sz val="10"/>
      <name val="Calibri"/>
      <family val="2"/>
    </font>
    <font>
      <sz val="8"/>
      <color theme="1"/>
      <name val="Arial"/>
      <family val="2"/>
    </font>
    <font>
      <b/>
      <sz val="11"/>
      <color theme="1"/>
      <name val="Calibri"/>
      <family val="2"/>
    </font>
    <font>
      <sz val="11"/>
      <name val="Calibri"/>
      <family val="2"/>
    </font>
    <font>
      <b/>
      <sz val="11"/>
      <name val="Calibri"/>
      <family val="2"/>
    </font>
    <font>
      <sz val="10"/>
      <color theme="1"/>
      <name val="Calibri"/>
      <family val="2"/>
      <scheme val="minor"/>
    </font>
    <font>
      <u/>
      <sz val="11"/>
      <color theme="10"/>
      <name val="Calibri"/>
      <family val="2"/>
      <scheme val="minor"/>
    </font>
    <font>
      <b/>
      <sz val="20"/>
      <name val="Calibri"/>
      <family val="2"/>
    </font>
    <font>
      <sz val="9"/>
      <color theme="0" tint="-0.499984740745262"/>
      <name val="Calibri"/>
      <family val="2"/>
      <scheme val="minor"/>
    </font>
    <font>
      <b/>
      <sz val="9"/>
      <color theme="0" tint="-0.499984740745262"/>
      <name val="Calibri"/>
      <family val="2"/>
      <scheme val="minor"/>
    </font>
    <font>
      <b/>
      <sz val="10"/>
      <color rgb="FF0000FF"/>
      <name val="Calibri"/>
      <family val="2"/>
      <scheme val="minor"/>
    </font>
    <font>
      <i/>
      <sz val="10"/>
      <color rgb="FF0000FF"/>
      <name val="Calibri"/>
      <family val="2"/>
      <scheme val="minor"/>
    </font>
    <font>
      <b/>
      <sz val="11"/>
      <color rgb="FF0000FF"/>
      <name val="Calibri"/>
      <family val="2"/>
      <scheme val="minor"/>
    </font>
    <font>
      <sz val="11"/>
      <color rgb="FF0000FF"/>
      <name val="Calibri"/>
      <family val="2"/>
      <scheme val="minor"/>
    </font>
    <font>
      <b/>
      <u/>
      <sz val="20"/>
      <color theme="1"/>
      <name val="Calibri"/>
      <family val="2"/>
      <scheme val="minor"/>
    </font>
    <font>
      <sz val="12"/>
      <color theme="1"/>
      <name val="Calibri"/>
      <family val="2"/>
      <scheme val="minor"/>
    </font>
    <font>
      <b/>
      <sz val="14"/>
      <color theme="1"/>
      <name val="Calibri"/>
      <family val="2"/>
      <scheme val="minor"/>
    </font>
    <font>
      <sz val="9"/>
      <color indexed="81"/>
      <name val="Tahoma"/>
      <charset val="1"/>
    </font>
    <font>
      <b/>
      <sz val="9"/>
      <color indexed="81"/>
      <name val="Tahoma"/>
      <charset val="1"/>
    </font>
    <font>
      <b/>
      <sz val="10"/>
      <color theme="1"/>
      <name val="Calibri"/>
      <family val="2"/>
      <scheme val="minor"/>
    </font>
    <font>
      <sz val="12"/>
      <color theme="0" tint="-0.249977111117893"/>
      <name val="Calibri"/>
      <family val="2"/>
      <scheme val="minor"/>
    </font>
    <font>
      <sz val="14"/>
      <color theme="1"/>
      <name val="Calibri"/>
      <family val="2"/>
      <scheme val="minor"/>
    </font>
    <font>
      <sz val="14"/>
      <name val="Calibri"/>
      <family val="2"/>
      <scheme val="minor"/>
    </font>
    <font>
      <b/>
      <u/>
      <sz val="14"/>
      <color theme="1"/>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b/>
      <sz val="10"/>
      <name val="Calibri"/>
      <family val="2"/>
      <scheme val="minor"/>
    </font>
    <font>
      <b/>
      <sz val="11"/>
      <color rgb="FF000000"/>
      <name val="Calibri"/>
      <family val="2"/>
      <scheme val="minor"/>
    </font>
    <font>
      <b/>
      <sz val="10"/>
      <color rgb="FF000000"/>
      <name val="Calibri "/>
    </font>
  </fonts>
  <fills count="9">
    <fill>
      <patternFill patternType="none"/>
    </fill>
    <fill>
      <patternFill patternType="gray125"/>
    </fill>
    <fill>
      <patternFill patternType="solid">
        <fgColor theme="0" tint="-4.9989318521683403E-2"/>
        <bgColor indexed="64"/>
      </patternFill>
    </fill>
    <fill>
      <patternFill patternType="mediumGray">
        <fgColor theme="0"/>
        <bgColor rgb="FFFFCCCC"/>
      </patternFill>
    </fill>
    <fill>
      <patternFill patternType="lightGray">
        <fgColor theme="0"/>
        <bgColor theme="9" tint="0.7999816888943144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7" tint="0.79998168889431442"/>
        <bgColor indexed="64"/>
      </patternFill>
    </fill>
  </fills>
  <borders count="83">
    <border>
      <left/>
      <right/>
      <top/>
      <bottom/>
      <diagonal/>
    </border>
    <border>
      <left/>
      <right/>
      <top style="medium">
        <color auto="1"/>
      </top>
      <bottom style="medium">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bottom/>
      <diagonal/>
    </border>
    <border>
      <left/>
      <right style="thin">
        <color auto="1"/>
      </right>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ck">
        <color auto="1"/>
      </left>
      <right/>
      <top style="medium">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style="thick">
        <color auto="1"/>
      </left>
      <right style="thick">
        <color auto="1"/>
      </right>
      <top/>
      <bottom style="thin">
        <color indexed="64"/>
      </bottom>
      <diagonal/>
    </border>
    <border>
      <left style="thick">
        <color auto="1"/>
      </left>
      <right style="thick">
        <color auto="1"/>
      </right>
      <top style="thin">
        <color auto="1"/>
      </top>
      <bottom style="thin">
        <color auto="1"/>
      </bottom>
      <diagonal/>
    </border>
    <border>
      <left style="thick">
        <color auto="1"/>
      </left>
      <right style="thick">
        <color auto="1"/>
      </right>
      <top style="thin">
        <color indexed="64"/>
      </top>
      <bottom/>
      <diagonal/>
    </border>
    <border>
      <left style="thick">
        <color auto="1"/>
      </left>
      <right style="thick">
        <color auto="1"/>
      </right>
      <top style="medium">
        <color auto="1"/>
      </top>
      <bottom style="medium">
        <color auto="1"/>
      </bottom>
      <diagonal/>
    </border>
    <border>
      <left style="thick">
        <color auto="1"/>
      </left>
      <right style="thick">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ck">
        <color auto="1"/>
      </left>
      <right style="thick">
        <color auto="1"/>
      </right>
      <top style="thick">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ck">
        <color auto="1"/>
      </left>
      <right style="thick">
        <color auto="1"/>
      </right>
      <top style="medium">
        <color auto="1"/>
      </top>
      <bottom/>
      <diagonal/>
    </border>
    <border>
      <left style="thick">
        <color auto="1"/>
      </left>
      <right style="thick">
        <color auto="1"/>
      </right>
      <top/>
      <bottom style="medium">
        <color auto="1"/>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indexed="64"/>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theme="0" tint="-0.14996795556505021"/>
      </diagonal>
    </border>
    <border diagonalUp="1" diagonalDown="1">
      <left style="thin">
        <color auto="1"/>
      </left>
      <right style="thin">
        <color auto="1"/>
      </right>
      <top style="thin">
        <color auto="1"/>
      </top>
      <bottom style="medium">
        <color auto="1"/>
      </bottom>
      <diagonal style="thin">
        <color theme="0" tint="-0.14996795556505021"/>
      </diagonal>
    </border>
    <border diagonalUp="1" diagonalDown="1">
      <left style="thin">
        <color auto="1"/>
      </left>
      <right style="thin">
        <color auto="1"/>
      </right>
      <top/>
      <bottom style="thin">
        <color auto="1"/>
      </bottom>
      <diagonal style="thin">
        <color theme="0" tint="-0.14996795556505021"/>
      </diagonal>
    </border>
    <border diagonalUp="1" diagonalDown="1">
      <left style="thin">
        <color auto="1"/>
      </left>
      <right/>
      <top style="thin">
        <color auto="1"/>
      </top>
      <bottom style="medium">
        <color auto="1"/>
      </bottom>
      <diagonal style="thin">
        <color theme="0" tint="-0.24994659260841701"/>
      </diagonal>
    </border>
    <border>
      <left/>
      <right style="medium">
        <color auto="1"/>
      </right>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ck">
        <color auto="1"/>
      </left>
      <right style="thick">
        <color auto="1"/>
      </right>
      <top style="thin">
        <color auto="1"/>
      </top>
      <bottom style="medium">
        <color auto="1"/>
      </bottom>
      <diagonal/>
    </border>
    <border>
      <left style="medium">
        <color auto="1"/>
      </left>
      <right/>
      <top/>
      <bottom style="thin">
        <color auto="1"/>
      </bottom>
      <diagonal/>
    </border>
    <border>
      <left/>
      <right style="medium">
        <color indexed="64"/>
      </right>
      <top/>
      <bottom style="thin">
        <color auto="1"/>
      </bottom>
      <diagonal/>
    </border>
    <border diagonalUp="1" diagonalDown="1">
      <left style="thin">
        <color auto="1"/>
      </left>
      <right style="thin">
        <color auto="1"/>
      </right>
      <top style="medium">
        <color auto="1"/>
      </top>
      <bottom style="thin">
        <color auto="1"/>
      </bottom>
      <diagonal style="thin">
        <color theme="0" tint="-0.14996795556505021"/>
      </diagonal>
    </border>
    <border diagonalUp="1" diagonalDown="1">
      <left style="medium">
        <color auto="1"/>
      </left>
      <right style="thin">
        <color auto="1"/>
      </right>
      <top style="medium">
        <color auto="1"/>
      </top>
      <bottom style="thin">
        <color auto="1"/>
      </bottom>
      <diagonal style="thin">
        <color theme="0" tint="-0.14996795556505021"/>
      </diagonal>
    </border>
    <border>
      <left style="medium">
        <color auto="1"/>
      </left>
      <right style="medium">
        <color auto="1"/>
      </right>
      <top style="medium">
        <color auto="1"/>
      </top>
      <bottom/>
      <diagonal/>
    </border>
    <border diagonalUp="1" diagonalDown="1">
      <left style="thin">
        <color auto="1"/>
      </left>
      <right/>
      <top style="thin">
        <color auto="1"/>
      </top>
      <bottom style="thin">
        <color indexed="64"/>
      </bottom>
      <diagonal style="thin">
        <color theme="0" tint="-0.24994659260841701"/>
      </diagonal>
    </border>
    <border>
      <left style="thin">
        <color auto="1"/>
      </left>
      <right/>
      <top/>
      <bottom/>
      <diagonal/>
    </border>
    <border>
      <left style="medium">
        <color auto="1"/>
      </left>
      <right style="medium">
        <color auto="1"/>
      </right>
      <top/>
      <bottom style="thin">
        <color auto="1"/>
      </bottom>
      <diagonal/>
    </border>
    <border>
      <left style="medium">
        <color auto="1"/>
      </left>
      <right style="medium">
        <color indexed="64"/>
      </right>
      <top style="thin">
        <color auto="1"/>
      </top>
      <bottom style="medium">
        <color auto="1"/>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xf numFmtId="43" fontId="23"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0" borderId="0"/>
    <xf numFmtId="0" fontId="28" fillId="0" borderId="0" applyNumberFormat="0" applyFill="0" applyBorder="0" applyAlignment="0" applyProtection="0"/>
  </cellStyleXfs>
  <cellXfs count="501">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6" fillId="0" borderId="0" xfId="0" applyFont="1" applyFill="1" applyAlignment="1" applyProtection="1">
      <alignment vertical="center"/>
    </xf>
    <xf numFmtId="0" fontId="6" fillId="0" borderId="0" xfId="0" applyFont="1" applyProtection="1"/>
    <xf numFmtId="0" fontId="6" fillId="0" borderId="0" xfId="0" applyFont="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xf>
    <xf numFmtId="44" fontId="0" fillId="0" borderId="0" xfId="1" applyNumberFormat="1" applyFont="1" applyFill="1" applyBorder="1" applyAlignment="1" applyProtection="1">
      <alignment vertical="center"/>
    </xf>
    <xf numFmtId="0" fontId="0" fillId="0" borderId="0" xfId="0" applyFont="1" applyAlignment="1" applyProtection="1">
      <alignment vertical="center"/>
    </xf>
    <xf numFmtId="0" fontId="9" fillId="0" borderId="0" xfId="0" applyFont="1" applyAlignment="1" applyProtection="1">
      <alignment horizontal="center"/>
    </xf>
    <xf numFmtId="0" fontId="0" fillId="0" borderId="0" xfId="0" applyBorder="1" applyAlignment="1" applyProtection="1">
      <alignment vertical="center"/>
    </xf>
    <xf numFmtId="44" fontId="2" fillId="4" borderId="0" xfId="1" applyNumberFormat="1" applyFont="1" applyFill="1" applyBorder="1" applyAlignment="1" applyProtection="1">
      <alignment vertical="center"/>
    </xf>
    <xf numFmtId="0" fontId="2" fillId="0" borderId="0" xfId="0" quotePrefix="1" applyFont="1" applyBorder="1" applyAlignment="1" applyProtection="1">
      <alignment vertical="center"/>
    </xf>
    <xf numFmtId="44" fontId="2" fillId="3" borderId="0" xfId="1" applyNumberFormat="1" applyFont="1" applyFill="1" applyBorder="1" applyAlignment="1" applyProtection="1">
      <alignment vertical="center"/>
    </xf>
    <xf numFmtId="0" fontId="4" fillId="0" borderId="0" xfId="0" applyFont="1" applyAlignment="1" applyProtection="1">
      <alignment vertical="center"/>
    </xf>
    <xf numFmtId="164" fontId="0" fillId="0" borderId="3" xfId="1" applyNumberFormat="1" applyFont="1" applyFill="1" applyBorder="1" applyAlignment="1" applyProtection="1">
      <alignment vertical="center"/>
      <protection locked="0"/>
    </xf>
    <xf numFmtId="164" fontId="7" fillId="0" borderId="10" xfId="1" applyNumberFormat="1" applyFont="1" applyFill="1" applyBorder="1" applyAlignment="1" applyProtection="1">
      <alignment vertical="center"/>
    </xf>
    <xf numFmtId="164" fontId="0" fillId="0" borderId="0" xfId="0" applyNumberFormat="1" applyFill="1" applyAlignment="1" applyProtection="1">
      <alignment vertical="center"/>
    </xf>
    <xf numFmtId="164" fontId="2" fillId="0" borderId="10" xfId="1" applyNumberFormat="1" applyFont="1" applyFill="1" applyBorder="1" applyAlignment="1" applyProtection="1">
      <alignment vertical="center"/>
    </xf>
    <xf numFmtId="164" fontId="2" fillId="0" borderId="0" xfId="0" applyNumberFormat="1" applyFont="1" applyFill="1" applyBorder="1" applyAlignment="1" applyProtection="1">
      <alignment vertical="center"/>
    </xf>
    <xf numFmtId="164" fontId="2" fillId="0" borderId="0" xfId="0" quotePrefix="1" applyNumberFormat="1" applyFont="1" applyBorder="1" applyAlignment="1" applyProtection="1">
      <alignment vertical="center"/>
    </xf>
    <xf numFmtId="164" fontId="0" fillId="0" borderId="0" xfId="0" applyNumberFormat="1" applyAlignment="1" applyProtection="1">
      <alignment vertical="center"/>
    </xf>
    <xf numFmtId="164" fontId="0" fillId="0" borderId="0" xfId="1" applyNumberFormat="1" applyFont="1" applyFill="1" applyBorder="1" applyAlignment="1" applyProtection="1">
      <alignment vertical="center"/>
    </xf>
    <xf numFmtId="164" fontId="0" fillId="0" borderId="0" xfId="0" applyNumberFormat="1" applyBorder="1" applyAlignment="1" applyProtection="1">
      <alignment vertical="center"/>
    </xf>
    <xf numFmtId="164" fontId="2" fillId="4" borderId="0" xfId="1" applyNumberFormat="1" applyFont="1" applyFill="1" applyBorder="1" applyAlignment="1" applyProtection="1">
      <alignment vertical="center"/>
    </xf>
    <xf numFmtId="164" fontId="2" fillId="3" borderId="0" xfId="1" applyNumberFormat="1" applyFont="1" applyFill="1" applyBorder="1" applyAlignment="1" applyProtection="1">
      <alignment vertical="center"/>
    </xf>
    <xf numFmtId="0" fontId="4" fillId="0" borderId="0" xfId="0" applyFont="1" applyBorder="1" applyAlignment="1" applyProtection="1">
      <alignment horizontal="left" vertical="center"/>
    </xf>
    <xf numFmtId="0" fontId="0" fillId="0" borderId="0" xfId="0" applyBorder="1"/>
    <xf numFmtId="0" fontId="4" fillId="0" borderId="0" xfId="0" applyFont="1" applyBorder="1" applyAlignment="1" applyProtection="1">
      <alignment vertical="center"/>
    </xf>
    <xf numFmtId="0" fontId="4" fillId="0" borderId="0" xfId="0" applyFont="1" applyBorder="1" applyAlignment="1" applyProtection="1">
      <alignment horizontal="left" vertical="center"/>
      <protection locked="0"/>
    </xf>
    <xf numFmtId="0" fontId="4" fillId="7" borderId="0" xfId="0" applyFont="1" applyFill="1" applyBorder="1" applyAlignment="1" applyProtection="1">
      <alignment vertical="center"/>
      <protection locked="0"/>
    </xf>
    <xf numFmtId="41" fontId="0" fillId="0" borderId="4" xfId="1" applyNumberFormat="1" applyFont="1" applyBorder="1" applyAlignment="1" applyProtection="1">
      <alignment vertical="center"/>
      <protection locked="0"/>
    </xf>
    <xf numFmtId="41" fontId="8" fillId="0" borderId="4" xfId="1" applyNumberFormat="1" applyFont="1" applyBorder="1" applyAlignment="1" applyProtection="1">
      <alignment vertical="center"/>
      <protection locked="0"/>
    </xf>
    <xf numFmtId="0" fontId="2" fillId="0" borderId="12" xfId="0" applyFont="1" applyFill="1" applyBorder="1" applyAlignment="1" applyProtection="1">
      <alignment horizontal="center"/>
    </xf>
    <xf numFmtId="0" fontId="0" fillId="0" borderId="0" xfId="0" applyFill="1"/>
    <xf numFmtId="0" fontId="0" fillId="0" borderId="0" xfId="0" applyFill="1" applyProtection="1"/>
    <xf numFmtId="0" fontId="2" fillId="0" borderId="0" xfId="0" applyFont="1"/>
    <xf numFmtId="0" fontId="2" fillId="0" borderId="12" xfId="0" applyFont="1" applyFill="1" applyBorder="1" applyAlignment="1" applyProtection="1">
      <alignment horizontal="center" wrapText="1"/>
    </xf>
    <xf numFmtId="0" fontId="5" fillId="0" borderId="0" xfId="0" applyFont="1" applyFill="1" applyBorder="1" applyAlignment="1" applyProtection="1">
      <alignment horizontal="left" vertical="center"/>
    </xf>
    <xf numFmtId="0" fontId="0" fillId="0" borderId="0" xfId="0" quotePrefix="1" applyFill="1" applyBorder="1" applyAlignment="1" applyProtection="1">
      <alignment horizontal="left" vertical="center" indent="1"/>
    </xf>
    <xf numFmtId="44" fontId="1" fillId="0" borderId="4" xfId="1" applyFont="1" applyBorder="1" applyAlignment="1">
      <alignment vertical="center"/>
    </xf>
    <xf numFmtId="44" fontId="2" fillId="0" borderId="0" xfId="1" applyFont="1" applyAlignment="1">
      <alignment vertical="center"/>
    </xf>
    <xf numFmtId="0" fontId="2" fillId="5" borderId="5" xfId="0" applyFont="1" applyFill="1" applyBorder="1" applyAlignment="1">
      <alignment vertical="center"/>
    </xf>
    <xf numFmtId="0" fontId="4" fillId="0" borderId="0" xfId="0" applyFont="1" applyAlignment="1" applyProtection="1">
      <alignment horizontal="left" vertical="center"/>
      <protection locked="0"/>
    </xf>
    <xf numFmtId="0" fontId="4" fillId="0" borderId="0" xfId="0" applyFont="1" applyAlignment="1">
      <alignment vertical="center"/>
    </xf>
    <xf numFmtId="164" fontId="8" fillId="0" borderId="4" xfId="1" applyNumberFormat="1" applyFont="1" applyFill="1" applyBorder="1" applyAlignment="1" applyProtection="1">
      <alignment vertical="center"/>
      <protection locked="0"/>
    </xf>
    <xf numFmtId="0" fontId="17" fillId="5" borderId="5" xfId="0" applyFont="1" applyFill="1" applyBorder="1" applyAlignment="1">
      <alignment horizontal="left" vertical="center"/>
    </xf>
    <xf numFmtId="49" fontId="7" fillId="0" borderId="9" xfId="1" quotePrefix="1" applyNumberFormat="1" applyFont="1" applyFill="1" applyBorder="1" applyAlignment="1" applyProtection="1">
      <alignment horizontal="right" vertical="center"/>
    </xf>
    <xf numFmtId="44" fontId="7" fillId="0" borderId="10" xfId="1" applyFont="1" applyFill="1" applyBorder="1" applyAlignment="1" applyProtection="1">
      <alignment vertical="center"/>
    </xf>
    <xf numFmtId="49" fontId="7" fillId="0" borderId="5" xfId="1" applyNumberFormat="1" applyFont="1" applyFill="1" applyBorder="1" applyAlignment="1" applyProtection="1">
      <alignment horizontal="right" vertical="center"/>
    </xf>
    <xf numFmtId="164" fontId="0" fillId="0" borderId="0" xfId="0" applyNumberFormat="1"/>
    <xf numFmtId="0" fontId="2" fillId="0" borderId="7" xfId="0" applyFont="1" applyBorder="1" applyAlignment="1">
      <alignment horizontal="left"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0" fontId="0" fillId="0" borderId="28" xfId="0" applyBorder="1" applyAlignment="1" applyProtection="1">
      <alignment vertical="center"/>
    </xf>
    <xf numFmtId="164" fontId="0" fillId="0" borderId="29" xfId="1" applyNumberFormat="1" applyFont="1" applyFill="1" applyBorder="1" applyAlignment="1" applyProtection="1">
      <alignment vertical="center"/>
    </xf>
    <xf numFmtId="164" fontId="0" fillId="0" borderId="30" xfId="1" applyNumberFormat="1" applyFont="1" applyFill="1" applyBorder="1" applyAlignment="1" applyProtection="1">
      <alignment vertical="center"/>
    </xf>
    <xf numFmtId="164" fontId="7" fillId="0" borderId="31" xfId="1" applyNumberFormat="1" applyFont="1" applyFill="1" applyBorder="1" applyAlignment="1" applyProtection="1">
      <alignment vertical="center"/>
    </xf>
    <xf numFmtId="164" fontId="0" fillId="0" borderId="29" xfId="0" applyNumberFormat="1" applyBorder="1" applyAlignment="1" applyProtection="1">
      <alignment vertical="center"/>
    </xf>
    <xf numFmtId="164" fontId="2" fillId="0" borderId="31" xfId="1" applyNumberFormat="1" applyFont="1" applyFill="1" applyBorder="1" applyAlignment="1" applyProtection="1">
      <alignment vertical="center"/>
    </xf>
    <xf numFmtId="164" fontId="2" fillId="0" borderId="32" xfId="0" applyNumberFormat="1" applyFont="1" applyFill="1" applyBorder="1" applyAlignment="1" applyProtection="1">
      <alignment vertical="center"/>
    </xf>
    <xf numFmtId="164" fontId="2" fillId="0" borderId="32" xfId="0" quotePrefix="1" applyNumberFormat="1" applyFont="1" applyBorder="1" applyAlignment="1" applyProtection="1">
      <alignment vertical="center"/>
    </xf>
    <xf numFmtId="164" fontId="0" fillId="0" borderId="29" xfId="1" applyNumberFormat="1" applyFont="1" applyBorder="1" applyAlignment="1" applyProtection="1">
      <alignment vertical="center"/>
    </xf>
    <xf numFmtId="0" fontId="2" fillId="0" borderId="0" xfId="0" quotePrefix="1" applyFont="1" applyBorder="1" applyAlignment="1">
      <alignment horizontal="right" vertical="center"/>
    </xf>
    <xf numFmtId="44" fontId="7" fillId="0" borderId="0" xfId="1" applyFont="1" applyFill="1" applyBorder="1" applyAlignment="1" applyProtection="1">
      <alignment vertical="center"/>
    </xf>
    <xf numFmtId="0" fontId="2" fillId="2" borderId="35" xfId="0" applyFont="1" applyFill="1" applyBorder="1" applyAlignment="1">
      <alignment horizontal="right" vertical="center"/>
    </xf>
    <xf numFmtId="0" fontId="0" fillId="2" borderId="36" xfId="0" applyFill="1" applyBorder="1" applyAlignment="1">
      <alignment vertical="center"/>
    </xf>
    <xf numFmtId="44" fontId="0" fillId="2" borderId="36" xfId="1" applyFont="1" applyFill="1" applyBorder="1" applyAlignment="1">
      <alignment vertical="center"/>
    </xf>
    <xf numFmtId="0" fontId="0" fillId="2" borderId="36" xfId="0" applyFill="1" applyBorder="1"/>
    <xf numFmtId="0" fontId="0" fillId="2" borderId="0" xfId="0" applyFill="1" applyBorder="1" applyAlignment="1">
      <alignment vertical="center"/>
    </xf>
    <xf numFmtId="0" fontId="0" fillId="2" borderId="0" xfId="0" applyFill="1" applyBorder="1"/>
    <xf numFmtId="0" fontId="0" fillId="2" borderId="41" xfId="0" applyFill="1" applyBorder="1"/>
    <xf numFmtId="0" fontId="0" fillId="2" borderId="15" xfId="0" applyFill="1" applyBorder="1" applyAlignment="1">
      <alignment horizontal="center" vertical="center"/>
    </xf>
    <xf numFmtId="0" fontId="4" fillId="0" borderId="0" xfId="0" applyFont="1" applyAlignment="1" applyProtection="1">
      <alignment horizontal="left" vertical="center"/>
    </xf>
    <xf numFmtId="44" fontId="0" fillId="2" borderId="15" xfId="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44" fontId="8" fillId="0" borderId="43" xfId="1" applyFont="1" applyBorder="1" applyAlignment="1">
      <alignment horizontal="center" vertical="center"/>
    </xf>
    <xf numFmtId="44" fontId="8" fillId="0" borderId="4" xfId="1" applyFont="1" applyBorder="1" applyAlignment="1">
      <alignment horizontal="center" vertical="center"/>
    </xf>
    <xf numFmtId="44" fontId="8" fillId="0" borderId="18" xfId="1" applyFont="1" applyBorder="1" applyAlignment="1">
      <alignment horizontal="center" vertical="center"/>
    </xf>
    <xf numFmtId="0" fontId="2" fillId="0" borderId="12" xfId="0" applyFont="1" applyBorder="1" applyAlignment="1">
      <alignment horizontal="center" wrapText="1"/>
    </xf>
    <xf numFmtId="0" fontId="0" fillId="2" borderId="40" xfId="0" applyFill="1" applyBorder="1" applyAlignment="1">
      <alignment vertical="center"/>
    </xf>
    <xf numFmtId="0" fontId="0" fillId="2" borderId="41" xfId="0" applyFill="1" applyBorder="1" applyAlignment="1">
      <alignment vertical="center"/>
    </xf>
    <xf numFmtId="0" fontId="0" fillId="0" borderId="0" xfId="0" applyBorder="1" applyAlignment="1"/>
    <xf numFmtId="0" fontId="0" fillId="0" borderId="0" xfId="0"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0" fillId="0" borderId="5" xfId="0" applyFill="1" applyBorder="1" applyAlignment="1">
      <alignment horizontal="center" vertical="center"/>
    </xf>
    <xf numFmtId="0" fontId="0" fillId="0" borderId="5" xfId="0" applyBorder="1"/>
    <xf numFmtId="44" fontId="8" fillId="0" borderId="23" xfId="1" applyFont="1" applyBorder="1" applyAlignment="1">
      <alignment horizontal="center" vertical="center"/>
    </xf>
    <xf numFmtId="44" fontId="8" fillId="0" borderId="34" xfId="1" applyFont="1" applyBorder="1" applyAlignment="1">
      <alignment horizontal="center" vertical="center"/>
    </xf>
    <xf numFmtId="44" fontId="8" fillId="0" borderId="25" xfId="1" applyFont="1" applyBorder="1" applyAlignment="1">
      <alignment horizontal="center" vertical="center"/>
    </xf>
    <xf numFmtId="0" fontId="2" fillId="2" borderId="0" xfId="0" applyFont="1" applyFill="1" applyBorder="1" applyAlignment="1">
      <alignment horizontal="right" vertical="center" wrapText="1"/>
    </xf>
    <xf numFmtId="3" fontId="8" fillId="0" borderId="23" xfId="1" applyNumberFormat="1" applyFont="1" applyBorder="1" applyAlignment="1">
      <alignment horizontal="center" vertical="center"/>
    </xf>
    <xf numFmtId="3" fontId="8" fillId="0" borderId="34" xfId="1" applyNumberFormat="1" applyFont="1" applyBorder="1" applyAlignment="1">
      <alignment horizontal="center" vertical="center"/>
    </xf>
    <xf numFmtId="3" fontId="8" fillId="0" borderId="25" xfId="1" applyNumberFormat="1" applyFont="1" applyBorder="1" applyAlignment="1">
      <alignment horizontal="center" vertical="center"/>
    </xf>
    <xf numFmtId="3" fontId="0" fillId="2" borderId="15" xfId="1" applyNumberFormat="1" applyFont="1" applyFill="1" applyBorder="1" applyAlignment="1">
      <alignment horizontal="center" vertical="center"/>
    </xf>
    <xf numFmtId="0" fontId="2" fillId="2" borderId="38" xfId="0" applyFont="1" applyFill="1" applyBorder="1" applyAlignment="1">
      <alignment vertical="center"/>
    </xf>
    <xf numFmtId="44" fontId="0" fillId="0" borderId="0" xfId="1" applyFont="1"/>
    <xf numFmtId="0" fontId="2" fillId="0" borderId="0" xfId="0" applyFont="1" applyFill="1" applyBorder="1" applyAlignment="1">
      <alignment vertical="center"/>
    </xf>
    <xf numFmtId="3" fontId="2" fillId="0" borderId="5" xfId="0" applyNumberFormat="1" applyFont="1" applyFill="1" applyBorder="1" applyAlignment="1">
      <alignment horizontal="right" vertical="center" wrapText="1"/>
    </xf>
    <xf numFmtId="0" fontId="2" fillId="2" borderId="36" xfId="0" applyFont="1" applyFill="1" applyBorder="1" applyAlignment="1">
      <alignment vertical="center"/>
    </xf>
    <xf numFmtId="0" fontId="0" fillId="2" borderId="37" xfId="0" applyFill="1" applyBorder="1" applyAlignment="1">
      <alignment vertical="center"/>
    </xf>
    <xf numFmtId="0" fontId="0" fillId="2" borderId="39" xfId="0" applyFill="1" applyBorder="1" applyAlignment="1">
      <alignment vertical="center"/>
    </xf>
    <xf numFmtId="0" fontId="0" fillId="2" borderId="42" xfId="0" applyFill="1" applyBorder="1" applyAlignment="1">
      <alignment vertical="center"/>
    </xf>
    <xf numFmtId="165" fontId="8" fillId="2" borderId="23" xfId="1" applyNumberFormat="1" applyFont="1" applyFill="1" applyBorder="1" applyAlignment="1">
      <alignment horizontal="center" vertical="center"/>
    </xf>
    <xf numFmtId="165" fontId="8" fillId="2" borderId="34" xfId="1" applyNumberFormat="1" applyFont="1" applyFill="1" applyBorder="1" applyAlignment="1">
      <alignment horizontal="center" vertical="center"/>
    </xf>
    <xf numFmtId="165" fontId="8" fillId="2" borderId="25" xfId="1" applyNumberFormat="1" applyFont="1" applyFill="1" applyBorder="1" applyAlignment="1">
      <alignment horizontal="center" vertical="center"/>
    </xf>
    <xf numFmtId="0" fontId="2" fillId="0" borderId="51" xfId="0" applyFont="1" applyBorder="1" applyAlignment="1" applyProtection="1">
      <alignment horizontal="center" vertical="center" wrapText="1"/>
    </xf>
    <xf numFmtId="1" fontId="30" fillId="0" borderId="0" xfId="0" applyNumberFormat="1" applyFont="1" applyAlignment="1">
      <alignment horizontal="right" vertical="center"/>
    </xf>
    <xf numFmtId="1" fontId="31" fillId="0" borderId="0" xfId="0" applyNumberFormat="1" applyFont="1" applyAlignment="1">
      <alignment horizontal="right" vertical="center"/>
    </xf>
    <xf numFmtId="0" fontId="11" fillId="0" borderId="0" xfId="0" applyFont="1" applyAlignment="1" applyProtection="1">
      <alignment horizontal="center" wrapText="1"/>
    </xf>
    <xf numFmtId="0" fontId="17" fillId="0" borderId="5" xfId="0" applyFont="1" applyFill="1" applyBorder="1" applyAlignment="1" applyProtection="1">
      <alignment vertical="center"/>
    </xf>
    <xf numFmtId="0" fontId="0" fillId="0" borderId="0" xfId="0" applyBorder="1" applyProtection="1"/>
    <xf numFmtId="0" fontId="17" fillId="0" borderId="0" xfId="0" applyFont="1" applyFill="1" applyBorder="1" applyAlignment="1" applyProtection="1">
      <alignment vertical="center"/>
    </xf>
    <xf numFmtId="164" fontId="2" fillId="0" borderId="0" xfId="1" applyNumberFormat="1" applyFont="1" applyFill="1" applyBorder="1" applyAlignment="1" applyProtection="1">
      <alignment vertical="center"/>
    </xf>
    <xf numFmtId="164" fontId="2" fillId="0" borderId="32" xfId="1" applyNumberFormat="1" applyFont="1" applyFill="1" applyBorder="1" applyAlignment="1" applyProtection="1">
      <alignment vertical="center"/>
    </xf>
    <xf numFmtId="0" fontId="10" fillId="0" borderId="0" xfId="0" quotePrefix="1" applyFont="1" applyBorder="1" applyAlignment="1" applyProtection="1">
      <alignment vertical="center"/>
    </xf>
    <xf numFmtId="0" fontId="2" fillId="0" borderId="0" xfId="0" quotePrefix="1" applyFont="1" applyFill="1" applyBorder="1" applyAlignment="1" applyProtection="1">
      <alignment horizontal="right" vertical="center"/>
    </xf>
    <xf numFmtId="44" fontId="2" fillId="0" borderId="0" xfId="1" applyNumberFormat="1" applyFont="1" applyFill="1" applyBorder="1" applyAlignment="1" applyProtection="1">
      <alignment vertical="center"/>
    </xf>
    <xf numFmtId="0" fontId="0" fillId="0" borderId="0" xfId="0" applyFill="1" applyBorder="1" applyProtection="1"/>
    <xf numFmtId="167" fontId="1" fillId="4" borderId="0" xfId="2" applyNumberFormat="1" applyFont="1" applyFill="1" applyBorder="1" applyAlignment="1" applyProtection="1">
      <alignment vertical="center"/>
    </xf>
    <xf numFmtId="9" fontId="5" fillId="0" borderId="12" xfId="2" quotePrefix="1" applyNumberFormat="1" applyFont="1" applyFill="1" applyBorder="1" applyAlignment="1" applyProtection="1">
      <alignment horizontal="center" vertical="center"/>
      <protection locked="0"/>
    </xf>
    <xf numFmtId="0" fontId="0" fillId="0" borderId="0" xfId="0" applyFont="1" applyFill="1" applyBorder="1" applyAlignment="1" applyProtection="1"/>
    <xf numFmtId="164" fontId="2" fillId="4" borderId="55" xfId="1" applyNumberFormat="1" applyFont="1" applyFill="1" applyBorder="1" applyAlignment="1" applyProtection="1">
      <alignment vertical="center"/>
    </xf>
    <xf numFmtId="164" fontId="2" fillId="4" borderId="56" xfId="1" applyNumberFormat="1" applyFont="1" applyFill="1" applyBorder="1" applyAlignment="1" applyProtection="1">
      <alignment vertical="center"/>
    </xf>
    <xf numFmtId="167" fontId="1" fillId="4" borderId="16" xfId="2" applyNumberFormat="1" applyFont="1" applyFill="1" applyBorder="1" applyAlignment="1" applyProtection="1">
      <alignment vertical="center"/>
    </xf>
    <xf numFmtId="167" fontId="1" fillId="4" borderId="57" xfId="2" applyNumberFormat="1" applyFont="1" applyFill="1" applyBorder="1" applyAlignment="1" applyProtection="1">
      <alignment vertical="center"/>
    </xf>
    <xf numFmtId="49" fontId="7" fillId="0" borderId="9" xfId="1" quotePrefix="1" applyNumberFormat="1" applyFont="1" applyFill="1" applyBorder="1" applyAlignment="1" applyProtection="1">
      <alignment horizontal="left" vertical="center"/>
    </xf>
    <xf numFmtId="3" fontId="0" fillId="0" borderId="5" xfId="0" applyNumberFormat="1" applyBorder="1"/>
    <xf numFmtId="3" fontId="2" fillId="0" borderId="12" xfId="0" applyNumberFormat="1" applyFont="1" applyBorder="1" applyAlignment="1">
      <alignment vertical="center"/>
    </xf>
    <xf numFmtId="3" fontId="2" fillId="0" borderId="0" xfId="0" applyNumberFormat="1" applyFont="1" applyAlignment="1">
      <alignment vertical="center"/>
    </xf>
    <xf numFmtId="3" fontId="0" fillId="2" borderId="36" xfId="0" applyNumberFormat="1" applyFill="1" applyBorder="1" applyAlignment="1">
      <alignment vertical="center"/>
    </xf>
    <xf numFmtId="3" fontId="2" fillId="0" borderId="15" xfId="0" applyNumberFormat="1" applyFont="1" applyFill="1" applyBorder="1" applyAlignment="1">
      <alignment horizontal="center" vertical="center"/>
    </xf>
    <xf numFmtId="165" fontId="2" fillId="0" borderId="15" xfId="0" applyNumberFormat="1" applyFont="1" applyFill="1" applyBorder="1" applyAlignment="1">
      <alignment horizontal="center" vertical="center"/>
    </xf>
    <xf numFmtId="0" fontId="32" fillId="0" borderId="0" xfId="0" applyFont="1" applyAlignment="1" applyProtection="1">
      <alignment horizontal="center" vertical="center"/>
      <protection locked="0"/>
    </xf>
    <xf numFmtId="0" fontId="32" fillId="0" borderId="0" xfId="0" applyFont="1" applyBorder="1" applyAlignment="1">
      <alignment horizontal="center" wrapText="1"/>
    </xf>
    <xf numFmtId="0" fontId="33" fillId="0" borderId="12" xfId="0" applyFont="1" applyBorder="1" applyAlignment="1">
      <alignment horizontal="center"/>
    </xf>
    <xf numFmtId="0" fontId="34" fillId="5" borderId="5" xfId="0" applyFont="1" applyFill="1" applyBorder="1" applyAlignment="1">
      <alignment horizontal="center" vertical="center"/>
    </xf>
    <xf numFmtId="0" fontId="35" fillId="0" borderId="0" xfId="0" applyFont="1" applyAlignment="1">
      <alignment horizontal="center" vertical="center"/>
    </xf>
    <xf numFmtId="164" fontId="35" fillId="0" borderId="0" xfId="1" applyNumberFormat="1" applyFont="1" applyAlignment="1">
      <alignment horizontal="center" vertical="center"/>
    </xf>
    <xf numFmtId="0" fontId="34" fillId="6" borderId="1" xfId="0" applyFont="1" applyFill="1" applyBorder="1" applyAlignment="1">
      <alignment horizontal="center" vertical="center"/>
    </xf>
    <xf numFmtId="0" fontId="35" fillId="0" borderId="0" xfId="0" applyFont="1" applyAlignment="1">
      <alignment horizontal="center"/>
    </xf>
    <xf numFmtId="41" fontId="8" fillId="0" borderId="3" xfId="1" applyNumberFormat="1" applyFont="1" applyBorder="1" applyAlignment="1" applyProtection="1">
      <alignment vertical="center"/>
      <protection locked="0"/>
    </xf>
    <xf numFmtId="0" fontId="35" fillId="0" borderId="7" xfId="0" applyFont="1" applyBorder="1" applyAlignment="1">
      <alignment horizontal="center" vertical="center"/>
    </xf>
    <xf numFmtId="44" fontId="2" fillId="0" borderId="15" xfId="1" applyNumberFormat="1" applyFont="1" applyFill="1" applyBorder="1" applyAlignment="1" applyProtection="1">
      <alignment vertical="center"/>
    </xf>
    <xf numFmtId="0" fontId="33" fillId="0" borderId="0" xfId="0" applyFont="1" applyAlignment="1">
      <alignment horizontal="center"/>
    </xf>
    <xf numFmtId="0" fontId="36" fillId="0" borderId="0" xfId="0" applyFont="1" applyBorder="1" applyAlignment="1" applyProtection="1">
      <alignment horizontal="left" vertical="center"/>
      <protection locked="0"/>
    </xf>
    <xf numFmtId="0" fontId="2" fillId="0" borderId="0" xfId="0" applyFont="1" applyBorder="1" applyAlignment="1">
      <alignment horizontal="center" wrapText="1"/>
    </xf>
    <xf numFmtId="164" fontId="0" fillId="0" borderId="0" xfId="1" applyNumberFormat="1" applyFont="1" applyBorder="1"/>
    <xf numFmtId="0" fontId="2" fillId="2" borderId="46" xfId="0" applyFont="1" applyFill="1" applyBorder="1" applyAlignment="1" applyProtection="1">
      <alignment horizontal="center" wrapText="1"/>
    </xf>
    <xf numFmtId="44" fontId="0" fillId="0" borderId="0" xfId="1" applyFont="1" applyAlignment="1">
      <alignment vertical="center"/>
    </xf>
    <xf numFmtId="44" fontId="0" fillId="2" borderId="37" xfId="1" applyFont="1" applyFill="1" applyBorder="1" applyAlignment="1">
      <alignment vertical="center"/>
    </xf>
    <xf numFmtId="0" fontId="2" fillId="2" borderId="0" xfId="0" applyFont="1" applyFill="1" applyBorder="1" applyAlignment="1">
      <alignment vertical="center"/>
    </xf>
    <xf numFmtId="6" fontId="35" fillId="0" borderId="7" xfId="0" applyNumberFormat="1" applyFont="1" applyBorder="1" applyAlignment="1">
      <alignment horizontal="center" vertical="center"/>
    </xf>
    <xf numFmtId="164" fontId="1" fillId="0" borderId="4" xfId="1" applyNumberFormat="1" applyFont="1" applyFill="1" applyBorder="1" applyAlignment="1" applyProtection="1">
      <alignment vertical="center"/>
    </xf>
    <xf numFmtId="44" fontId="1" fillId="0" borderId="0" xfId="1" applyNumberFormat="1" applyFont="1" applyFill="1" applyBorder="1" applyAlignment="1" applyProtection="1">
      <alignment vertical="center"/>
    </xf>
    <xf numFmtId="164" fontId="1" fillId="0" borderId="0" xfId="1" applyNumberFormat="1" applyFont="1" applyFill="1" applyBorder="1" applyAlignment="1" applyProtection="1">
      <alignment vertical="center"/>
    </xf>
    <xf numFmtId="164" fontId="1" fillId="0" borderId="29" xfId="1" applyNumberFormat="1" applyFont="1" applyFill="1" applyBorder="1" applyAlignment="1" applyProtection="1">
      <alignment vertical="center"/>
    </xf>
    <xf numFmtId="0" fontId="0" fillId="0" borderId="0" xfId="0" applyFont="1" applyFill="1" applyBorder="1" applyProtection="1"/>
    <xf numFmtId="0" fontId="0" fillId="0" borderId="0" xfId="0" applyFont="1" applyFill="1" applyBorder="1" applyAlignment="1" applyProtection="1">
      <alignment vertical="center"/>
    </xf>
    <xf numFmtId="0" fontId="2" fillId="6" borderId="1" xfId="0" applyFont="1" applyFill="1" applyBorder="1" applyAlignment="1">
      <alignment horizontal="left" vertical="center"/>
    </xf>
    <xf numFmtId="0" fontId="16" fillId="0" borderId="0" xfId="0" applyFont="1" applyBorder="1" applyAlignment="1">
      <alignment wrapText="1"/>
    </xf>
    <xf numFmtId="44" fontId="0" fillId="0" borderId="0" xfId="1" applyFont="1" applyBorder="1"/>
    <xf numFmtId="0" fontId="0" fillId="0" borderId="0" xfId="0" applyFill="1" applyAlignment="1">
      <alignment vertical="center"/>
    </xf>
    <xf numFmtId="0" fontId="7" fillId="0" borderId="12" xfId="0" applyFont="1" applyBorder="1" applyAlignment="1">
      <alignment horizontal="center" wrapText="1"/>
    </xf>
    <xf numFmtId="0" fontId="8" fillId="0" borderId="0" xfId="0" applyFont="1" applyBorder="1" applyAlignment="1">
      <alignment vertical="top"/>
    </xf>
    <xf numFmtId="0" fontId="29" fillId="0" borderId="0" xfId="3" applyFont="1" applyProtection="1"/>
    <xf numFmtId="0" fontId="22" fillId="0" borderId="0" xfId="3" applyFont="1" applyAlignment="1" applyProtection="1">
      <alignment horizontal="center"/>
    </xf>
    <xf numFmtId="0" fontId="25" fillId="0" borderId="0" xfId="3" applyFont="1" applyAlignment="1" applyProtection="1">
      <alignment horizontal="center"/>
    </xf>
    <xf numFmtId="166" fontId="15" fillId="0" borderId="0" xfId="4" applyNumberFormat="1" applyFont="1" applyAlignment="1" applyProtection="1">
      <alignment horizontal="right"/>
    </xf>
    <xf numFmtId="166" fontId="15" fillId="0" borderId="0" xfId="4" applyNumberFormat="1" applyFont="1" applyProtection="1"/>
    <xf numFmtId="0" fontId="15" fillId="0" borderId="0" xfId="3" applyFont="1" applyProtection="1"/>
    <xf numFmtId="0" fontId="15" fillId="0" borderId="50" xfId="3" applyFont="1" applyBorder="1" applyAlignment="1" applyProtection="1">
      <alignment horizontal="right" vertical="center"/>
    </xf>
    <xf numFmtId="169" fontId="15" fillId="0" borderId="50" xfId="3" applyNumberFormat="1" applyFont="1" applyBorder="1" applyAlignment="1" applyProtection="1">
      <alignment horizontal="right" vertical="center"/>
    </xf>
    <xf numFmtId="169" fontId="15" fillId="0" borderId="26" xfId="3" applyNumberFormat="1" applyFont="1" applyBorder="1" applyAlignment="1" applyProtection="1">
      <alignment horizontal="right" vertical="center"/>
    </xf>
    <xf numFmtId="164" fontId="2" fillId="3" borderId="55" xfId="1" applyNumberFormat="1" applyFont="1" applyFill="1" applyBorder="1" applyAlignment="1" applyProtection="1">
      <alignment vertical="center"/>
    </xf>
    <xf numFmtId="164" fontId="2" fillId="3" borderId="56" xfId="1" applyNumberFormat="1" applyFont="1" applyFill="1" applyBorder="1" applyAlignment="1" applyProtection="1">
      <alignment vertical="center"/>
    </xf>
    <xf numFmtId="0" fontId="0" fillId="0" borderId="0" xfId="0" applyFill="1" applyAlignment="1">
      <alignment wrapText="1"/>
    </xf>
    <xf numFmtId="44" fontId="0" fillId="0" borderId="0" xfId="1" applyFont="1" applyFill="1"/>
    <xf numFmtId="44" fontId="0" fillId="0" borderId="4" xfId="1" applyFont="1" applyBorder="1" applyAlignment="1">
      <alignment vertical="center"/>
    </xf>
    <xf numFmtId="44" fontId="7" fillId="0" borderId="4" xfId="1" applyFont="1" applyFill="1" applyBorder="1" applyAlignment="1" applyProtection="1">
      <alignment vertical="center"/>
    </xf>
    <xf numFmtId="167" fontId="5" fillId="8" borderId="7" xfId="2" quotePrefix="1" applyNumberFormat="1" applyFont="1" applyFill="1" applyBorder="1" applyAlignment="1" applyProtection="1">
      <alignment horizontal="center" vertical="center"/>
      <protection locked="0"/>
    </xf>
    <xf numFmtId="167" fontId="5" fillId="8" borderId="17" xfId="2" quotePrefix="1" applyNumberFormat="1" applyFont="1" applyFill="1" applyBorder="1" applyAlignment="1" applyProtection="1">
      <alignment horizontal="center" vertical="center"/>
      <protection locked="0"/>
    </xf>
    <xf numFmtId="2" fontId="2" fillId="3" borderId="16" xfId="2" applyNumberFormat="1" applyFont="1" applyFill="1" applyBorder="1" applyAlignment="1" applyProtection="1">
      <alignment vertical="center"/>
    </xf>
    <xf numFmtId="2" fontId="2" fillId="3" borderId="0" xfId="1" applyNumberFormat="1" applyFont="1" applyFill="1" applyBorder="1" applyAlignment="1" applyProtection="1">
      <alignment vertical="center"/>
    </xf>
    <xf numFmtId="2" fontId="2" fillId="3" borderId="57" xfId="1" applyNumberFormat="1" applyFont="1" applyFill="1" applyBorder="1" applyAlignment="1" applyProtection="1">
      <alignment vertical="center"/>
    </xf>
    <xf numFmtId="167" fontId="5" fillId="0" borderId="0" xfId="2" quotePrefix="1" applyNumberFormat="1" applyFont="1" applyFill="1" applyBorder="1" applyAlignment="1" applyProtection="1">
      <alignment horizontal="center" vertical="center"/>
      <protection locked="0"/>
    </xf>
    <xf numFmtId="0" fontId="2" fillId="0" borderId="0" xfId="0" applyFont="1" applyAlignment="1">
      <alignment horizontal="left" vertical="center"/>
    </xf>
    <xf numFmtId="0" fontId="12" fillId="0" borderId="49"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49" fontId="4" fillId="0" borderId="0" xfId="0" applyNumberFormat="1" applyFont="1" applyBorder="1" applyAlignment="1" applyProtection="1">
      <alignment vertical="center"/>
    </xf>
    <xf numFmtId="0" fontId="4" fillId="7" borderId="0" xfId="0" applyFont="1" applyFill="1" applyAlignment="1" applyProtection="1">
      <alignment vertical="center"/>
    </xf>
    <xf numFmtId="0" fontId="17" fillId="5" borderId="5" xfId="0" applyFont="1" applyFill="1" applyBorder="1" applyAlignment="1" applyProtection="1">
      <alignment horizontal="left" vertical="center"/>
    </xf>
    <xf numFmtId="0" fontId="2" fillId="5" borderId="5" xfId="0" applyFont="1" applyFill="1" applyBorder="1" applyAlignment="1" applyProtection="1">
      <alignment horizontal="left" vertical="center"/>
    </xf>
    <xf numFmtId="0" fontId="27" fillId="2" borderId="60" xfId="0" applyFont="1" applyFill="1" applyBorder="1" applyAlignment="1" applyProtection="1">
      <alignment horizontal="center" vertical="center" wrapText="1"/>
    </xf>
    <xf numFmtId="0" fontId="41" fillId="2" borderId="60" xfId="0"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41" fillId="2" borderId="47" xfId="0" applyFont="1" applyFill="1" applyBorder="1" applyAlignment="1" applyProtection="1">
      <alignment horizontal="center" vertical="center" wrapText="1"/>
    </xf>
    <xf numFmtId="0" fontId="12" fillId="0" borderId="6" xfId="0" applyFont="1" applyBorder="1" applyAlignment="1" applyProtection="1">
      <alignment horizontal="left" vertical="center" indent="2"/>
    </xf>
    <xf numFmtId="0" fontId="12" fillId="0" borderId="26" xfId="0" applyFont="1" applyBorder="1" applyAlignment="1" applyProtection="1">
      <alignment horizontal="left" vertical="center" indent="2"/>
    </xf>
    <xf numFmtId="0" fontId="4" fillId="0" borderId="12" xfId="0" applyFont="1" applyBorder="1" applyAlignment="1" applyProtection="1">
      <alignment horizontal="left" vertical="center"/>
    </xf>
    <xf numFmtId="0" fontId="0" fillId="0" borderId="12" xfId="0" applyFill="1" applyBorder="1" applyAlignment="1" applyProtection="1">
      <alignment vertical="center"/>
    </xf>
    <xf numFmtId="0" fontId="4" fillId="0" borderId="0" xfId="0" applyFont="1" applyFill="1" applyAlignment="1" applyProtection="1">
      <alignment horizontal="left" vertical="center"/>
    </xf>
    <xf numFmtId="0" fontId="0" fillId="0" borderId="0" xfId="0" applyFill="1" applyBorder="1" applyAlignment="1" applyProtection="1">
      <alignment horizontal="center" vertical="center"/>
    </xf>
    <xf numFmtId="0" fontId="37" fillId="0" borderId="0" xfId="0" applyFont="1" applyProtection="1"/>
    <xf numFmtId="168" fontId="13" fillId="0" borderId="0" xfId="0" applyNumberFormat="1" applyFont="1" applyAlignment="1" applyProtection="1">
      <alignment horizontal="right" vertical="center"/>
    </xf>
    <xf numFmtId="0" fontId="0" fillId="0" borderId="0" xfId="0" applyAlignment="1" applyProtection="1">
      <alignment horizontal="left" vertical="center"/>
    </xf>
    <xf numFmtId="41" fontId="0" fillId="0" borderId="0" xfId="1" applyNumberFormat="1" applyFont="1" applyBorder="1" applyAlignment="1" applyProtection="1">
      <alignment vertical="center"/>
    </xf>
    <xf numFmtId="41" fontId="0" fillId="0" borderId="0" xfId="0" applyNumberFormat="1" applyAlignment="1" applyProtection="1">
      <alignment vertical="center"/>
    </xf>
    <xf numFmtId="0" fontId="0" fillId="0" borderId="0" xfId="0" quotePrefix="1" applyAlignment="1" applyProtection="1">
      <alignment horizontal="left" vertical="center" indent="1"/>
    </xf>
    <xf numFmtId="41" fontId="0" fillId="0" borderId="0" xfId="1" applyNumberFormat="1" applyFont="1" applyFill="1" applyBorder="1" applyAlignment="1" applyProtection="1">
      <alignment vertical="center"/>
    </xf>
    <xf numFmtId="41" fontId="0" fillId="0" borderId="2" xfId="1" applyNumberFormat="1" applyFont="1" applyFill="1" applyBorder="1" applyAlignment="1" applyProtection="1">
      <alignment vertical="center"/>
    </xf>
    <xf numFmtId="44" fontId="0" fillId="0" borderId="0" xfId="1" applyFont="1" applyProtection="1"/>
    <xf numFmtId="43" fontId="0" fillId="0" borderId="0" xfId="1" applyNumberFormat="1" applyFont="1" applyBorder="1" applyAlignment="1" applyProtection="1">
      <alignment vertical="center"/>
    </xf>
    <xf numFmtId="41" fontId="0" fillId="0" borderId="0" xfId="1" applyNumberFormat="1" applyFont="1" applyAlignment="1" applyProtection="1">
      <alignment vertical="center"/>
    </xf>
    <xf numFmtId="0" fontId="0" fillId="0" borderId="0" xfId="0" quotePrefix="1" applyAlignment="1" applyProtection="1">
      <alignment vertical="center"/>
    </xf>
    <xf numFmtId="43" fontId="0" fillId="0" borderId="0" xfId="1" applyNumberFormat="1" applyFont="1" applyAlignment="1" applyProtection="1">
      <alignment vertical="center"/>
    </xf>
    <xf numFmtId="0" fontId="0" fillId="0" borderId="0" xfId="0" applyFill="1" applyAlignment="1" applyProtection="1">
      <alignment horizontal="left" vertical="center"/>
    </xf>
    <xf numFmtId="0" fontId="0" fillId="0" borderId="0" xfId="0" quotePrefix="1" applyFill="1" applyAlignment="1" applyProtection="1">
      <alignment horizontal="left" vertical="center" indent="1"/>
    </xf>
    <xf numFmtId="41" fontId="0" fillId="0" borderId="0" xfId="1" applyNumberFormat="1" applyFont="1" applyFill="1" applyAlignment="1" applyProtection="1">
      <alignment vertical="center"/>
    </xf>
    <xf numFmtId="0" fontId="14" fillId="0" borderId="0" xfId="0" applyFont="1" applyFill="1" applyAlignment="1" applyProtection="1">
      <alignment vertical="center"/>
    </xf>
    <xf numFmtId="43" fontId="0" fillId="0" borderId="0" xfId="1" applyNumberFormat="1" applyFont="1" applyFill="1" applyBorder="1" applyAlignment="1" applyProtection="1">
      <alignment vertical="center"/>
    </xf>
    <xf numFmtId="41" fontId="37" fillId="0" borderId="22" xfId="1" applyNumberFormat="1" applyFont="1" applyFill="1" applyBorder="1" applyAlignment="1" applyProtection="1">
      <alignment vertical="center"/>
      <protection locked="0"/>
    </xf>
    <xf numFmtId="10" fontId="37" fillId="0" borderId="43" xfId="2" applyNumberFormat="1" applyFont="1" applyFill="1" applyBorder="1" applyAlignment="1" applyProtection="1">
      <alignment horizontal="center" vertical="center"/>
      <protection locked="0"/>
    </xf>
    <xf numFmtId="1" fontId="37" fillId="0" borderId="43" xfId="0" applyNumberFormat="1" applyFont="1" applyFill="1" applyBorder="1" applyAlignment="1" applyProtection="1">
      <alignment horizontal="center" vertical="center"/>
      <protection locked="0"/>
    </xf>
    <xf numFmtId="1" fontId="37" fillId="0" borderId="66" xfId="0" quotePrefix="1" applyNumberFormat="1" applyFont="1" applyFill="1" applyBorder="1" applyAlignment="1" applyProtection="1">
      <alignment horizontal="center" vertical="center"/>
    </xf>
    <xf numFmtId="164" fontId="12" fillId="2" borderId="65" xfId="1" applyNumberFormat="1" applyFont="1" applyFill="1" applyBorder="1" applyAlignment="1" applyProtection="1">
      <alignment horizontal="center" vertical="center"/>
    </xf>
    <xf numFmtId="164" fontId="12" fillId="2" borderId="68" xfId="1" quotePrefix="1" applyNumberFormat="1" applyFont="1" applyFill="1" applyBorder="1" applyAlignment="1" applyProtection="1">
      <alignment horizontal="center" vertical="center"/>
    </xf>
    <xf numFmtId="164" fontId="12" fillId="2" borderId="62" xfId="1" applyNumberFormat="1" applyFont="1" applyFill="1" applyBorder="1" applyAlignment="1" applyProtection="1">
      <alignment vertical="center"/>
    </xf>
    <xf numFmtId="41" fontId="37" fillId="0" borderId="33" xfId="1" applyNumberFormat="1" applyFont="1" applyFill="1" applyBorder="1" applyAlignment="1" applyProtection="1">
      <alignment vertical="center"/>
      <protection locked="0"/>
    </xf>
    <xf numFmtId="10" fontId="37" fillId="0" borderId="4" xfId="2" applyNumberFormat="1" applyFont="1" applyFill="1" applyBorder="1" applyAlignment="1" applyProtection="1">
      <alignment horizontal="center" vertical="center"/>
      <protection locked="0"/>
    </xf>
    <xf numFmtId="1" fontId="37" fillId="0" borderId="4" xfId="0" applyNumberFormat="1" applyFont="1" applyFill="1" applyBorder="1" applyAlignment="1" applyProtection="1">
      <alignment horizontal="center" vertical="center"/>
      <protection locked="0"/>
    </xf>
    <xf numFmtId="164" fontId="12" fillId="2" borderId="34" xfId="1" applyNumberFormat="1" applyFont="1" applyFill="1" applyBorder="1" applyAlignment="1" applyProtection="1">
      <alignment vertical="center"/>
    </xf>
    <xf numFmtId="9" fontId="37" fillId="0" borderId="4" xfId="2" applyFont="1" applyFill="1" applyBorder="1" applyAlignment="1" applyProtection="1">
      <alignment horizontal="center" vertical="center"/>
      <protection locked="0"/>
    </xf>
    <xf numFmtId="1" fontId="42" fillId="0" borderId="4" xfId="2" applyNumberFormat="1" applyFont="1" applyFill="1" applyBorder="1" applyAlignment="1" applyProtection="1">
      <alignment horizontal="center" vertical="center"/>
    </xf>
    <xf numFmtId="1" fontId="42" fillId="0" borderId="34" xfId="2" applyNumberFormat="1" applyFont="1" applyFill="1" applyBorder="1" applyAlignment="1" applyProtection="1">
      <alignment horizontal="center" vertical="center"/>
    </xf>
    <xf numFmtId="42" fontId="12" fillId="2" borderId="66" xfId="1" quotePrefix="1" applyNumberFormat="1" applyFont="1" applyFill="1" applyBorder="1" applyAlignment="1" applyProtection="1">
      <alignment horizontal="center" vertical="center"/>
    </xf>
    <xf numFmtId="41" fontId="37" fillId="0" borderId="24" xfId="1" applyNumberFormat="1" applyFont="1" applyFill="1" applyBorder="1" applyAlignment="1" applyProtection="1">
      <alignment vertical="center"/>
      <protection locked="0"/>
    </xf>
    <xf numFmtId="10" fontId="37" fillId="0" borderId="18" xfId="2" applyNumberFormat="1" applyFont="1" applyFill="1" applyBorder="1" applyAlignment="1" applyProtection="1">
      <alignment horizontal="center" vertical="center"/>
      <protection locked="0"/>
    </xf>
    <xf numFmtId="1" fontId="37" fillId="0" borderId="18" xfId="0" applyNumberFormat="1" applyFont="1" applyFill="1" applyBorder="1" applyAlignment="1" applyProtection="1">
      <alignment horizontal="center" vertical="center"/>
      <protection locked="0"/>
    </xf>
    <xf numFmtId="1" fontId="37" fillId="0" borderId="67" xfId="0" quotePrefix="1" applyNumberFormat="1" applyFont="1" applyFill="1" applyBorder="1" applyAlignment="1" applyProtection="1">
      <alignment horizontal="center" vertical="center"/>
    </xf>
    <xf numFmtId="42" fontId="12" fillId="2" borderId="67" xfId="1" quotePrefix="1" applyNumberFormat="1" applyFont="1" applyFill="1" applyBorder="1" applyAlignment="1" applyProtection="1">
      <alignment horizontal="center" vertical="center"/>
    </xf>
    <xf numFmtId="164" fontId="12" fillId="2" borderId="25" xfId="1" applyNumberFormat="1" applyFont="1" applyFill="1" applyBorder="1" applyAlignment="1" applyProtection="1">
      <alignment vertical="center"/>
    </xf>
    <xf numFmtId="0" fontId="0" fillId="0" borderId="0" xfId="0" applyFont="1" applyProtection="1"/>
    <xf numFmtId="0" fontId="0" fillId="0" borderId="0" xfId="0" applyFont="1" applyAlignment="1" applyProtection="1">
      <alignment horizontal="left" vertical="center"/>
    </xf>
    <xf numFmtId="41" fontId="0" fillId="0" borderId="0" xfId="0" applyNumberFormat="1" applyFont="1" applyAlignment="1" applyProtection="1">
      <alignment vertical="center"/>
    </xf>
    <xf numFmtId="0" fontId="0" fillId="0" borderId="0" xfId="0" quotePrefix="1" applyFont="1" applyAlignment="1" applyProtection="1">
      <alignment horizontal="left" vertical="center" indent="1"/>
    </xf>
    <xf numFmtId="0" fontId="0" fillId="0" borderId="0" xfId="0" quotePrefix="1" applyFont="1" applyBorder="1" applyAlignment="1" applyProtection="1">
      <alignment horizontal="left" vertical="center" indent="1"/>
    </xf>
    <xf numFmtId="0" fontId="38" fillId="5" borderId="5" xfId="0" applyFont="1" applyFill="1" applyBorder="1" applyAlignment="1" applyProtection="1">
      <alignment horizontal="left" vertical="center"/>
    </xf>
    <xf numFmtId="0" fontId="38" fillId="5" borderId="5" xfId="0" applyFont="1" applyFill="1" applyBorder="1" applyAlignment="1" applyProtection="1">
      <alignment vertical="center"/>
    </xf>
    <xf numFmtId="0" fontId="43" fillId="5" borderId="5" xfId="0" applyFont="1" applyFill="1" applyBorder="1" applyAlignment="1" applyProtection="1">
      <alignment horizontal="right" vertical="center"/>
    </xf>
    <xf numFmtId="41" fontId="38" fillId="5" borderId="5" xfId="0" applyNumberFormat="1" applyFont="1" applyFill="1" applyBorder="1" applyAlignment="1" applyProtection="1">
      <alignment vertical="center"/>
    </xf>
    <xf numFmtId="0" fontId="43" fillId="0" borderId="0" xfId="0" applyFont="1" applyProtection="1"/>
    <xf numFmtId="41" fontId="43" fillId="5" borderId="5" xfId="0" applyNumberFormat="1" applyFont="1" applyFill="1" applyBorder="1" applyAlignment="1" applyProtection="1">
      <alignment vertical="center"/>
    </xf>
    <xf numFmtId="0" fontId="43" fillId="0" borderId="0" xfId="0" applyFont="1" applyAlignment="1" applyProtection="1">
      <alignment vertical="center"/>
    </xf>
    <xf numFmtId="0" fontId="44" fillId="5" borderId="5" xfId="0" applyFont="1" applyFill="1" applyBorder="1" applyAlignment="1" applyProtection="1">
      <alignment horizontal="right" vertical="center"/>
    </xf>
    <xf numFmtId="41" fontId="44" fillId="5" borderId="5" xfId="0" applyNumberFormat="1" applyFont="1" applyFill="1" applyBorder="1" applyAlignment="1" applyProtection="1">
      <alignment vertical="center"/>
    </xf>
    <xf numFmtId="0" fontId="41" fillId="0" borderId="0" xfId="0" applyFont="1" applyFill="1" applyBorder="1" applyAlignment="1" applyProtection="1">
      <alignment horizontal="center" vertical="center" wrapText="1"/>
    </xf>
    <xf numFmtId="164" fontId="12" fillId="0" borderId="0" xfId="1" applyNumberFormat="1" applyFont="1" applyFill="1" applyBorder="1" applyAlignment="1" applyProtection="1">
      <alignment vertical="center"/>
    </xf>
    <xf numFmtId="0" fontId="8" fillId="0" borderId="0" xfId="0" applyFont="1" applyAlignment="1">
      <alignment horizontal="left" vertical="center" indent="2"/>
    </xf>
    <xf numFmtId="0" fontId="28" fillId="0" borderId="0" xfId="8" applyFont="1" applyProtection="1"/>
    <xf numFmtId="0" fontId="20" fillId="2" borderId="0" xfId="0" applyFont="1" applyFill="1" applyProtection="1"/>
    <xf numFmtId="0" fontId="1" fillId="2" borderId="0" xfId="0" applyFont="1" applyFill="1" applyProtection="1"/>
    <xf numFmtId="0" fontId="0" fillId="2" borderId="0" xfId="0" applyFill="1" applyProtection="1"/>
    <xf numFmtId="0" fontId="27" fillId="2" borderId="0" xfId="0" applyFont="1" applyFill="1" applyProtection="1"/>
    <xf numFmtId="0" fontId="2" fillId="0" borderId="2" xfId="0" applyFont="1" applyBorder="1" applyAlignment="1">
      <alignment wrapText="1"/>
    </xf>
    <xf numFmtId="0" fontId="2" fillId="0" borderId="2" xfId="0" applyFont="1" applyBorder="1" applyAlignment="1">
      <alignment horizontal="center" vertical="center" wrapText="1"/>
    </xf>
    <xf numFmtId="0" fontId="37" fillId="0" borderId="6" xfId="0" applyFont="1" applyBorder="1" applyAlignment="1" applyProtection="1">
      <alignment horizontal="left" vertical="center" indent="2"/>
    </xf>
    <xf numFmtId="0" fontId="37" fillId="0" borderId="0" xfId="0" applyFont="1" applyBorder="1" applyAlignment="1" applyProtection="1">
      <alignment horizontal="left" vertical="center" indent="2"/>
    </xf>
    <xf numFmtId="0" fontId="37" fillId="0" borderId="7" xfId="0" applyFont="1" applyBorder="1" applyAlignment="1" applyProtection="1">
      <alignment horizontal="left" vertical="center" indent="2"/>
    </xf>
    <xf numFmtId="0" fontId="43" fillId="0" borderId="0" xfId="0" applyFont="1" applyAlignment="1">
      <alignment horizontal="left"/>
    </xf>
    <xf numFmtId="44" fontId="7" fillId="0" borderId="5" xfId="1" applyFont="1" applyFill="1" applyBorder="1" applyAlignment="1" applyProtection="1">
      <alignment vertical="center"/>
    </xf>
    <xf numFmtId="49" fontId="7" fillId="0" borderId="0" xfId="1" quotePrefix="1" applyNumberFormat="1" applyFont="1" applyFill="1" applyBorder="1" applyAlignment="1" applyProtection="1">
      <alignment horizontal="left" vertical="center"/>
    </xf>
    <xf numFmtId="0" fontId="12" fillId="0" borderId="7" xfId="0" applyFont="1" applyBorder="1" applyAlignment="1" applyProtection="1">
      <alignment horizontal="left" vertical="center"/>
    </xf>
    <xf numFmtId="0" fontId="2" fillId="0" borderId="12" xfId="0" applyFont="1" applyBorder="1" applyAlignment="1">
      <alignment horizontal="left" wrapText="1"/>
    </xf>
    <xf numFmtId="0" fontId="2" fillId="2" borderId="36" xfId="0" applyFont="1" applyFill="1" applyBorder="1" applyAlignment="1">
      <alignment horizontal="right" vertical="center"/>
    </xf>
    <xf numFmtId="164" fontId="12" fillId="2" borderId="24" xfId="1" applyNumberFormat="1" applyFont="1" applyFill="1" applyBorder="1" applyAlignment="1" applyProtection="1">
      <alignment horizontal="center" vertical="center"/>
    </xf>
    <xf numFmtId="1" fontId="37" fillId="0" borderId="4" xfId="0" quotePrefix="1" applyNumberFormat="1" applyFont="1" applyFill="1" applyBorder="1" applyAlignment="1" applyProtection="1">
      <alignment horizontal="center" vertical="center"/>
    </xf>
    <xf numFmtId="164" fontId="1" fillId="0" borderId="73" xfId="1" applyNumberFormat="1" applyFont="1" applyFill="1" applyBorder="1" applyAlignment="1" applyProtection="1">
      <alignment vertical="center"/>
    </xf>
    <xf numFmtId="0" fontId="12" fillId="0" borderId="74" xfId="0" applyFont="1" applyBorder="1" applyAlignment="1" applyProtection="1">
      <alignment horizontal="center" vertical="center"/>
      <protection locked="0"/>
    </xf>
    <xf numFmtId="41" fontId="37" fillId="0" borderId="65" xfId="1" applyNumberFormat="1" applyFont="1" applyFill="1" applyBorder="1" applyAlignment="1" applyProtection="1">
      <alignment vertical="center"/>
      <protection locked="0"/>
    </xf>
    <xf numFmtId="10" fontId="37" fillId="0" borderId="19" xfId="2" applyNumberFormat="1" applyFont="1" applyFill="1" applyBorder="1" applyAlignment="1" applyProtection="1">
      <alignment horizontal="center" vertical="center"/>
      <protection locked="0"/>
    </xf>
    <xf numFmtId="1" fontId="37" fillId="0" borderId="19" xfId="0" applyNumberFormat="1" applyFont="1" applyFill="1" applyBorder="1" applyAlignment="1" applyProtection="1">
      <alignment horizontal="center" vertical="center"/>
      <protection locked="0"/>
    </xf>
    <xf numFmtId="1" fontId="37" fillId="0" borderId="68" xfId="0" quotePrefix="1" applyNumberFormat="1" applyFont="1" applyFill="1" applyBorder="1" applyAlignment="1" applyProtection="1">
      <alignment horizontal="center" vertical="center"/>
    </xf>
    <xf numFmtId="1" fontId="42" fillId="0" borderId="19" xfId="2" applyNumberFormat="1" applyFont="1" applyFill="1" applyBorder="1" applyAlignment="1" applyProtection="1">
      <alignment horizontal="center" vertical="center"/>
    </xf>
    <xf numFmtId="10" fontId="37" fillId="0" borderId="19" xfId="2" applyNumberFormat="1" applyFont="1" applyFill="1" applyBorder="1" applyAlignment="1" applyProtection="1">
      <alignment horizontal="center" vertical="center" wrapText="1"/>
      <protection locked="0"/>
    </xf>
    <xf numFmtId="1" fontId="42" fillId="0" borderId="62" xfId="2" applyNumberFormat="1" applyFont="1" applyFill="1" applyBorder="1" applyAlignment="1" applyProtection="1">
      <alignment horizontal="center" vertical="center"/>
    </xf>
    <xf numFmtId="1" fontId="37" fillId="0" borderId="76" xfId="0" quotePrefix="1" applyNumberFormat="1" applyFont="1" applyFill="1" applyBorder="1" applyAlignment="1" applyProtection="1">
      <alignment horizontal="center" vertical="center"/>
    </xf>
    <xf numFmtId="42" fontId="12" fillId="2" borderId="77" xfId="1" quotePrefix="1" applyNumberFormat="1" applyFont="1" applyFill="1" applyBorder="1" applyAlignment="1" applyProtection="1">
      <alignment horizontal="center" vertical="center" wrapText="1"/>
    </xf>
    <xf numFmtId="42" fontId="12" fillId="2" borderId="43" xfId="1" applyNumberFormat="1" applyFont="1" applyFill="1" applyBorder="1" applyAlignment="1" applyProtection="1">
      <alignment vertical="center"/>
    </xf>
    <xf numFmtId="164" fontId="12" fillId="2" borderId="23" xfId="1" applyNumberFormat="1" applyFont="1" applyFill="1" applyBorder="1" applyAlignment="1" applyProtection="1">
      <alignment vertical="center"/>
    </xf>
    <xf numFmtId="0" fontId="12" fillId="0" borderId="78" xfId="0" applyFont="1" applyBorder="1" applyAlignment="1" applyProtection="1">
      <alignment horizontal="left" vertical="center" indent="2"/>
    </xf>
    <xf numFmtId="0" fontId="8" fillId="0" borderId="0" xfId="0" applyFont="1" applyFill="1" applyProtection="1"/>
    <xf numFmtId="0" fontId="47" fillId="0" borderId="0" xfId="0" applyFont="1" applyFill="1" applyBorder="1" applyAlignment="1" applyProtection="1">
      <alignment horizontal="right" vertical="center" wrapText="1"/>
    </xf>
    <xf numFmtId="0" fontId="47" fillId="0" borderId="0" xfId="0" applyFont="1" applyFill="1" applyBorder="1" applyAlignment="1" applyProtection="1">
      <alignment horizontal="center" vertical="center" wrapText="1"/>
    </xf>
    <xf numFmtId="0" fontId="47" fillId="0" borderId="0" xfId="0" applyFont="1" applyFill="1" applyBorder="1" applyAlignment="1" applyProtection="1">
      <alignment wrapText="1"/>
    </xf>
    <xf numFmtId="168" fontId="13" fillId="0" borderId="0" xfId="0" applyNumberFormat="1" applyFont="1" applyFill="1" applyAlignment="1" applyProtection="1">
      <alignment horizontal="right" vertical="center"/>
    </xf>
    <xf numFmtId="41" fontId="0" fillId="0" borderId="0" xfId="0" quotePrefix="1" applyNumberFormat="1" applyFont="1" applyAlignment="1" applyProtection="1">
      <alignment vertical="center"/>
    </xf>
    <xf numFmtId="41" fontId="0" fillId="0" borderId="0" xfId="1" applyNumberFormat="1" applyFont="1" applyFill="1" applyBorder="1" applyAlignment="1" applyProtection="1">
      <alignment horizontal="left" vertical="center"/>
    </xf>
    <xf numFmtId="0" fontId="47" fillId="0" borderId="0" xfId="0" applyFont="1" applyProtection="1"/>
    <xf numFmtId="1" fontId="42" fillId="0" borderId="25" xfId="2" applyNumberFormat="1" applyFont="1" applyFill="1" applyBorder="1" applyAlignment="1" applyProtection="1">
      <alignment horizontal="center" vertical="center"/>
    </xf>
    <xf numFmtId="9" fontId="37" fillId="0" borderId="4" xfId="2" applyFont="1" applyFill="1" applyBorder="1" applyAlignment="1" applyProtection="1">
      <alignment horizontal="center" vertical="center" wrapText="1"/>
      <protection locked="0"/>
    </xf>
    <xf numFmtId="9" fontId="37" fillId="0" borderId="18" xfId="2" applyFont="1" applyFill="1" applyBorder="1" applyAlignment="1" applyProtection="1">
      <alignment horizontal="center" vertical="center" wrapText="1"/>
      <protection locked="0"/>
    </xf>
    <xf numFmtId="44" fontId="0" fillId="0" borderId="23" xfId="1" applyFont="1" applyBorder="1" applyAlignment="1">
      <alignment vertical="center"/>
    </xf>
    <xf numFmtId="44" fontId="0" fillId="0" borderId="33" xfId="1" applyFont="1" applyBorder="1" applyAlignment="1">
      <alignment vertical="center"/>
    </xf>
    <xf numFmtId="44" fontId="0" fillId="0" borderId="34" xfId="1" applyFont="1" applyBorder="1" applyAlignment="1">
      <alignment vertical="center"/>
    </xf>
    <xf numFmtId="44" fontId="0" fillId="0" borderId="62" xfId="1" applyFont="1" applyBorder="1" applyAlignment="1">
      <alignment vertical="center"/>
    </xf>
    <xf numFmtId="44" fontId="0" fillId="0" borderId="58" xfId="1" applyFont="1" applyBorder="1" applyAlignment="1">
      <alignment vertical="center"/>
    </xf>
    <xf numFmtId="44" fontId="0" fillId="2" borderId="60" xfId="1" applyFont="1" applyFill="1" applyBorder="1" applyAlignment="1">
      <alignment vertical="center"/>
    </xf>
    <xf numFmtId="44" fontId="0" fillId="2" borderId="47" xfId="1" applyFont="1" applyFill="1" applyBorder="1" applyAlignment="1">
      <alignment vertical="center"/>
    </xf>
    <xf numFmtId="44" fontId="0" fillId="0" borderId="25" xfId="1" applyFont="1" applyBorder="1" applyAlignment="1">
      <alignment vertical="center"/>
    </xf>
    <xf numFmtId="44" fontId="0" fillId="2" borderId="52" xfId="1" applyFont="1" applyFill="1" applyBorder="1" applyAlignment="1">
      <alignment vertical="center"/>
    </xf>
    <xf numFmtId="44" fontId="0" fillId="2" borderId="53" xfId="1" applyFont="1" applyFill="1" applyBorder="1" applyAlignment="1">
      <alignment vertical="center"/>
    </xf>
    <xf numFmtId="44" fontId="0" fillId="0" borderId="59" xfId="1" applyFont="1" applyBorder="1" applyAlignment="1">
      <alignment vertical="center"/>
    </xf>
    <xf numFmtId="44" fontId="0" fillId="0" borderId="71" xfId="1" applyFont="1" applyBorder="1" applyAlignment="1">
      <alignment vertical="center"/>
    </xf>
    <xf numFmtId="44" fontId="2" fillId="0" borderId="15" xfId="1" applyFont="1" applyFill="1" applyBorder="1" applyAlignment="1">
      <alignment horizontal="center" vertical="center"/>
    </xf>
    <xf numFmtId="44" fontId="0" fillId="0" borderId="5" xfId="1" applyFont="1" applyBorder="1"/>
    <xf numFmtId="44" fontId="2" fillId="0" borderId="12" xfId="1" applyFont="1" applyBorder="1" applyAlignment="1">
      <alignment vertical="center"/>
    </xf>
    <xf numFmtId="44" fontId="2" fillId="2" borderId="0" xfId="1" applyFont="1" applyFill="1" applyBorder="1" applyAlignment="1">
      <alignment vertical="center" wrapText="1"/>
    </xf>
    <xf numFmtId="44" fontId="2" fillId="2" borderId="0" xfId="1" applyFont="1" applyFill="1" applyBorder="1" applyAlignment="1">
      <alignment horizontal="right" vertical="center" wrapText="1"/>
    </xf>
    <xf numFmtId="44" fontId="2" fillId="0" borderId="15" xfId="1" applyFont="1" applyFill="1" applyBorder="1" applyAlignment="1">
      <alignment vertical="center"/>
    </xf>
    <xf numFmtId="49" fontId="24" fillId="0" borderId="23" xfId="6" applyNumberFormat="1" applyFont="1" applyFill="1" applyBorder="1" applyAlignment="1" applyProtection="1">
      <alignment horizontal="center" vertical="center" wrapText="1"/>
    </xf>
    <xf numFmtId="0" fontId="20" fillId="2" borderId="0" xfId="3" applyFont="1" applyFill="1" applyAlignment="1" applyProtection="1">
      <alignment horizontal="center"/>
    </xf>
    <xf numFmtId="0" fontId="20" fillId="2" borderId="0" xfId="7" applyFont="1" applyFill="1" applyProtection="1"/>
    <xf numFmtId="0" fontId="8" fillId="2" borderId="0" xfId="3" applyFont="1" applyFill="1" applyAlignment="1" applyProtection="1">
      <alignment horizontal="center"/>
    </xf>
    <xf numFmtId="166" fontId="1" fillId="2" borderId="0" xfId="4" applyNumberFormat="1" applyFont="1" applyFill="1" applyProtection="1"/>
    <xf numFmtId="41" fontId="1" fillId="2" borderId="0" xfId="1" applyNumberFormat="1" applyFont="1" applyFill="1" applyBorder="1" applyAlignment="1" applyProtection="1">
      <alignment horizontal="right" vertical="center"/>
    </xf>
    <xf numFmtId="0" fontId="48" fillId="2" borderId="0" xfId="0" applyFont="1" applyFill="1" applyAlignment="1">
      <alignment horizontal="left" vertical="top"/>
    </xf>
    <xf numFmtId="0" fontId="49" fillId="2" borderId="0" xfId="0" applyFont="1" applyFill="1" applyProtection="1"/>
    <xf numFmtId="0" fontId="50" fillId="2" borderId="0" xfId="0" applyFont="1" applyFill="1" applyAlignment="1">
      <alignment horizontal="left" vertical="top"/>
    </xf>
    <xf numFmtId="0" fontId="49" fillId="2" borderId="80" xfId="7" applyFont="1" applyFill="1" applyBorder="1" applyProtection="1"/>
    <xf numFmtId="0" fontId="50" fillId="2" borderId="80" xfId="0" applyFont="1" applyFill="1" applyBorder="1" applyAlignment="1">
      <alignment horizontal="left" vertical="top"/>
    </xf>
    <xf numFmtId="0" fontId="49" fillId="2" borderId="80" xfId="0" applyFont="1" applyFill="1" applyBorder="1" applyProtection="1"/>
    <xf numFmtId="41" fontId="15" fillId="0" borderId="34" xfId="1" applyNumberFormat="1" applyFont="1" applyFill="1" applyBorder="1" applyAlignment="1" applyProtection="1">
      <alignment horizontal="right" vertical="center"/>
    </xf>
    <xf numFmtId="41" fontId="15" fillId="0" borderId="53" xfId="1" applyNumberFormat="1" applyFont="1" applyFill="1" applyBorder="1" applyAlignment="1" applyProtection="1">
      <alignment horizontal="right" vertical="center"/>
    </xf>
    <xf numFmtId="49" fontId="24" fillId="0" borderId="22" xfId="6" applyNumberFormat="1" applyFont="1" applyFill="1" applyBorder="1" applyAlignment="1" applyProtection="1">
      <alignment horizontal="center" vertical="center" wrapText="1"/>
    </xf>
    <xf numFmtId="41" fontId="15" fillId="0" borderId="33" xfId="1" applyNumberFormat="1" applyFont="1" applyFill="1" applyBorder="1" applyAlignment="1" applyProtection="1">
      <alignment horizontal="right" vertical="center"/>
    </xf>
    <xf numFmtId="41" fontId="15" fillId="0" borderId="52" xfId="1" applyNumberFormat="1" applyFont="1" applyFill="1" applyBorder="1" applyAlignment="1" applyProtection="1">
      <alignment horizontal="right" vertical="center"/>
    </xf>
    <xf numFmtId="49" fontId="24" fillId="0" borderId="65" xfId="6" applyNumberFormat="1" applyFont="1" applyFill="1" applyBorder="1" applyAlignment="1" applyProtection="1">
      <alignment horizontal="center" vertical="center" wrapText="1"/>
    </xf>
    <xf numFmtId="49" fontId="24" fillId="0" borderId="62" xfId="6" applyNumberFormat="1" applyFont="1" applyFill="1" applyBorder="1" applyAlignment="1" applyProtection="1">
      <alignment horizontal="center" vertical="center" wrapText="1"/>
    </xf>
    <xf numFmtId="0" fontId="0" fillId="0" borderId="0" xfId="0" applyAlignment="1">
      <alignment horizontal="left" vertical="center" indent="2"/>
    </xf>
    <xf numFmtId="0" fontId="0" fillId="0" borderId="70" xfId="0" applyBorder="1" applyAlignment="1">
      <alignment horizontal="left" vertical="center" indent="2"/>
    </xf>
    <xf numFmtId="0" fontId="2" fillId="0" borderId="0" xfId="0" applyFont="1" applyAlignment="1">
      <alignment horizontal="right" vertical="center"/>
    </xf>
    <xf numFmtId="0" fontId="45" fillId="0" borderId="0" xfId="0" applyFont="1" applyAlignment="1">
      <alignment horizontal="left"/>
    </xf>
    <xf numFmtId="0" fontId="2" fillId="2" borderId="1" xfId="0" applyFont="1" applyFill="1" applyBorder="1" applyAlignment="1" applyProtection="1">
      <alignment horizontal="left" wrapText="1"/>
    </xf>
    <xf numFmtId="0" fontId="27" fillId="2" borderId="10" xfId="0" applyFont="1" applyFill="1" applyBorder="1" applyAlignment="1" applyProtection="1">
      <alignment horizontal="center" vertical="center" wrapText="1"/>
    </xf>
    <xf numFmtId="0" fontId="4" fillId="0" borderId="0" xfId="0" applyFont="1" applyAlignment="1">
      <alignment horizontal="left" vertical="center"/>
    </xf>
    <xf numFmtId="0" fontId="4" fillId="7" borderId="0" xfId="0" applyFont="1" applyFill="1" applyAlignment="1" applyProtection="1">
      <alignment horizontal="center" vertical="center"/>
      <protection locked="0"/>
    </xf>
    <xf numFmtId="0" fontId="0" fillId="0" borderId="0" xfId="0" quotePrefix="1" applyBorder="1" applyAlignment="1" applyProtection="1">
      <alignment horizontal="left" vertical="center" indent="1"/>
    </xf>
    <xf numFmtId="0" fontId="8" fillId="0" borderId="0" xfId="0" quotePrefix="1" applyFont="1" applyFill="1" applyBorder="1" applyAlignment="1" applyProtection="1">
      <alignment horizontal="left" vertical="center" indent="1"/>
    </xf>
    <xf numFmtId="0" fontId="0" fillId="0" borderId="0" xfId="0" quotePrefix="1" applyBorder="1" applyAlignment="1" applyProtection="1">
      <alignment horizontal="left" vertical="center" indent="1"/>
    </xf>
    <xf numFmtId="0" fontId="0" fillId="0" borderId="7" xfId="0" quotePrefix="1" applyBorder="1" applyAlignment="1" applyProtection="1">
      <alignment horizontal="left" vertical="center" indent="1"/>
    </xf>
    <xf numFmtId="0" fontId="51" fillId="0" borderId="6" xfId="3" applyFont="1" applyBorder="1"/>
    <xf numFmtId="0" fontId="51" fillId="0" borderId="0" xfId="3" applyFont="1"/>
    <xf numFmtId="44" fontId="0" fillId="2" borderId="25" xfId="1" applyFont="1" applyFill="1" applyBorder="1" applyAlignment="1">
      <alignment vertical="center"/>
    </xf>
    <xf numFmtId="0" fontId="2" fillId="0" borderId="0" xfId="0" applyFont="1" applyAlignment="1" applyProtection="1">
      <alignment vertical="center"/>
    </xf>
    <xf numFmtId="164" fontId="2" fillId="0" borderId="0" xfId="1" applyNumberFormat="1" applyFont="1" applyBorder="1" applyAlignment="1" applyProtection="1">
      <alignment horizontal="center"/>
    </xf>
    <xf numFmtId="44" fontId="0" fillId="0" borderId="59" xfId="1" applyFont="1" applyBorder="1" applyAlignment="1" applyProtection="1">
      <alignment vertical="center"/>
    </xf>
    <xf numFmtId="44" fontId="0" fillId="0" borderId="82" xfId="1" applyFont="1" applyBorder="1" applyAlignment="1" applyProtection="1">
      <alignment vertical="center"/>
    </xf>
    <xf numFmtId="44" fontId="0" fillId="2" borderId="26" xfId="1" applyFont="1" applyFill="1" applyBorder="1" applyAlignment="1" applyProtection="1">
      <alignment vertical="center"/>
    </xf>
    <xf numFmtId="44" fontId="0" fillId="0" borderId="15" xfId="0" applyNumberFormat="1" applyBorder="1" applyProtection="1"/>
    <xf numFmtId="0" fontId="8" fillId="0" borderId="22" xfId="0" applyFont="1" applyBorder="1" applyAlignment="1" applyProtection="1">
      <alignment horizontal="left" vertical="center"/>
      <protection locked="0"/>
    </xf>
    <xf numFmtId="0" fontId="8" fillId="0" borderId="44"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3" xfId="0" applyFont="1" applyBorder="1" applyAlignment="1" applyProtection="1">
      <alignment horizontal="left" vertical="center"/>
      <protection locked="0"/>
    </xf>
    <xf numFmtId="0" fontId="8" fillId="0" borderId="1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0" fillId="0" borderId="24" xfId="0" applyBorder="1" applyAlignment="1" applyProtection="1">
      <alignment horizontal="left" vertical="center"/>
      <protection locked="0"/>
    </xf>
    <xf numFmtId="0" fontId="0" fillId="0" borderId="2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44" fontId="8" fillId="0" borderId="22" xfId="1" applyFont="1" applyFill="1" applyBorder="1" applyAlignment="1" applyProtection="1">
      <alignment horizontal="center" vertical="center"/>
      <protection locked="0"/>
    </xf>
    <xf numFmtId="44" fontId="8" fillId="0" borderId="43" xfId="1" applyFont="1" applyBorder="1" applyAlignment="1" applyProtection="1">
      <alignment horizontal="center" vertical="center"/>
      <protection locked="0"/>
    </xf>
    <xf numFmtId="44" fontId="8" fillId="0" borderId="33" xfId="1" applyFont="1" applyBorder="1" applyAlignment="1" applyProtection="1">
      <alignment horizontal="center" vertical="center"/>
      <protection locked="0"/>
    </xf>
    <xf numFmtId="44" fontId="8" fillId="0" borderId="4" xfId="1" applyFont="1" applyBorder="1" applyAlignment="1" applyProtection="1">
      <alignment horizontal="center" vertical="center"/>
      <protection locked="0"/>
    </xf>
    <xf numFmtId="44" fontId="0" fillId="0" borderId="24" xfId="1" applyFont="1" applyBorder="1" applyAlignment="1" applyProtection="1">
      <alignment horizontal="center" vertical="center"/>
      <protection locked="0"/>
    </xf>
    <xf numFmtId="44" fontId="0" fillId="0" borderId="18" xfId="1" applyFont="1" applyBorder="1" applyAlignment="1" applyProtection="1">
      <alignment horizontal="center" vertical="center"/>
      <protection locked="0"/>
    </xf>
    <xf numFmtId="3" fontId="8" fillId="0" borderId="22" xfId="0" applyNumberFormat="1" applyFont="1" applyBorder="1" applyAlignment="1" applyProtection="1">
      <alignment horizontal="center" vertical="center"/>
      <protection locked="0"/>
    </xf>
    <xf numFmtId="3" fontId="8" fillId="0" borderId="33" xfId="0" applyNumberFormat="1" applyFont="1"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49" fontId="8" fillId="0" borderId="49" xfId="1" applyNumberFormat="1" applyFont="1" applyBorder="1" applyAlignment="1" applyProtection="1">
      <alignment horizontal="center" vertical="center"/>
      <protection locked="0"/>
    </xf>
    <xf numFmtId="49" fontId="8" fillId="0" borderId="50" xfId="1" applyNumberFormat="1" applyFont="1" applyBorder="1" applyAlignment="1" applyProtection="1">
      <alignment horizontal="center" vertical="center"/>
      <protection locked="0"/>
    </xf>
    <xf numFmtId="49" fontId="0" fillId="0" borderId="48" xfId="1" applyNumberFormat="1" applyFont="1" applyBorder="1" applyAlignment="1" applyProtection="1">
      <alignment horizontal="center" vertical="center"/>
      <protection locked="0"/>
    </xf>
    <xf numFmtId="44" fontId="8" fillId="0" borderId="22" xfId="1" applyFont="1" applyBorder="1" applyAlignment="1" applyProtection="1">
      <alignment horizontal="center" vertical="center"/>
      <protection locked="0"/>
    </xf>
    <xf numFmtId="44" fontId="0" fillId="0" borderId="22" xfId="1" applyFont="1" applyBorder="1" applyAlignment="1" applyProtection="1">
      <alignment vertical="center"/>
      <protection locked="0"/>
    </xf>
    <xf numFmtId="44" fontId="0" fillId="0" borderId="33" xfId="1" applyFont="1" applyBorder="1" applyAlignment="1" applyProtection="1">
      <alignment vertical="center"/>
      <protection locked="0"/>
    </xf>
    <xf numFmtId="167" fontId="35" fillId="0" borderId="4" xfId="2" applyNumberFormat="1" applyFont="1" applyBorder="1" applyAlignment="1" applyProtection="1">
      <alignment horizontal="center" vertical="center"/>
      <protection locked="0"/>
    </xf>
    <xf numFmtId="10" fontId="35" fillId="0" borderId="4" xfId="2" applyNumberFormat="1" applyFont="1" applyBorder="1" applyAlignment="1" applyProtection="1">
      <alignment horizontal="center" vertical="center"/>
      <protection locked="0"/>
    </xf>
    <xf numFmtId="170" fontId="35" fillId="0" borderId="4" xfId="2" applyNumberFormat="1" applyFont="1" applyBorder="1" applyAlignment="1" applyProtection="1">
      <alignment horizontal="center" vertical="center"/>
      <protection locked="0"/>
    </xf>
    <xf numFmtId="44" fontId="0" fillId="0" borderId="65" xfId="1" applyFont="1" applyBorder="1" applyAlignment="1" applyProtection="1">
      <alignment vertical="center"/>
      <protection locked="0"/>
    </xf>
    <xf numFmtId="44" fontId="0" fillId="0" borderId="72" xfId="1" applyFont="1" applyBorder="1" applyAlignment="1" applyProtection="1">
      <alignment vertical="center"/>
      <protection locked="0"/>
    </xf>
    <xf numFmtId="44" fontId="0" fillId="0" borderId="24" xfId="1" applyFont="1" applyBorder="1" applyAlignment="1" applyProtection="1">
      <alignment vertical="center"/>
      <protection locked="0"/>
    </xf>
    <xf numFmtId="167" fontId="35" fillId="0" borderId="18" xfId="2" applyNumberFormat="1" applyFont="1" applyBorder="1" applyAlignment="1" applyProtection="1">
      <alignment horizontal="center" vertical="center"/>
      <protection locked="0"/>
    </xf>
    <xf numFmtId="167" fontId="35" fillId="0" borderId="4" xfId="0" applyNumberFormat="1" applyFont="1" applyBorder="1" applyAlignment="1" applyProtection="1">
      <alignment horizontal="center" vertical="center"/>
      <protection locked="0"/>
    </xf>
    <xf numFmtId="41" fontId="8" fillId="0" borderId="4" xfId="1" applyNumberFormat="1" applyFont="1" applyBorder="1" applyAlignment="1" applyProtection="1">
      <alignment vertical="center"/>
    </xf>
    <xf numFmtId="41" fontId="0" fillId="0" borderId="4" xfId="1" applyNumberFormat="1" applyFont="1" applyBorder="1" applyAlignment="1" applyProtection="1">
      <alignment vertical="center"/>
    </xf>
    <xf numFmtId="41" fontId="0" fillId="0" borderId="79" xfId="1" applyNumberFormat="1" applyFont="1" applyBorder="1" applyAlignment="1" applyProtection="1">
      <alignment vertical="center"/>
    </xf>
    <xf numFmtId="41" fontId="0" fillId="0" borderId="69" xfId="1" applyNumberFormat="1" applyFont="1" applyBorder="1" applyAlignment="1" applyProtection="1">
      <alignment vertical="center"/>
    </xf>
    <xf numFmtId="41" fontId="8" fillId="0" borderId="3" xfId="1" applyNumberFormat="1" applyFont="1" applyBorder="1" applyAlignment="1" applyProtection="1">
      <alignment vertical="center"/>
    </xf>
    <xf numFmtId="41" fontId="0" fillId="0" borderId="18" xfId="1" applyNumberFormat="1" applyFont="1" applyBorder="1" applyAlignment="1" applyProtection="1">
      <alignment vertical="center"/>
    </xf>
    <xf numFmtId="164" fontId="0" fillId="0" borderId="4" xfId="1" applyNumberFormat="1" applyFont="1" applyFill="1" applyBorder="1" applyAlignment="1" applyProtection="1">
      <alignment vertical="center"/>
    </xf>
    <xf numFmtId="164" fontId="0" fillId="0" borderId="4" xfId="0" applyNumberFormat="1" applyFill="1" applyBorder="1" applyAlignment="1" applyProtection="1">
      <alignment vertical="center"/>
    </xf>
    <xf numFmtId="164" fontId="8" fillId="0" borderId="4" xfId="1" applyNumberFormat="1" applyFont="1" applyFill="1" applyBorder="1" applyAlignment="1" applyProtection="1">
      <alignment vertical="center"/>
    </xf>
    <xf numFmtId="0" fontId="2" fillId="5" borderId="5" xfId="0" applyFont="1" applyFill="1" applyBorder="1" applyAlignment="1" applyProtection="1">
      <alignment vertical="center"/>
    </xf>
    <xf numFmtId="0" fontId="24" fillId="0" borderId="0" xfId="3" applyFont="1" applyFill="1" applyBorder="1" applyAlignment="1" applyProtection="1">
      <alignment horizontal="left" vertical="center"/>
    </xf>
    <xf numFmtId="0" fontId="50" fillId="2" borderId="0" xfId="0" applyFont="1" applyFill="1" applyAlignment="1" applyProtection="1">
      <alignment horizontal="left" vertical="top"/>
    </xf>
    <xf numFmtId="0" fontId="48" fillId="2" borderId="0" xfId="0" applyFont="1" applyFill="1" applyAlignment="1" applyProtection="1">
      <alignment horizontal="left" vertical="top"/>
    </xf>
    <xf numFmtId="0" fontId="50" fillId="2" borderId="80" xfId="0" applyFont="1" applyFill="1" applyBorder="1" applyAlignment="1" applyProtection="1">
      <alignment horizontal="left" vertical="top"/>
    </xf>
    <xf numFmtId="0" fontId="28" fillId="0" borderId="0" xfId="8" applyAlignment="1" applyProtection="1">
      <alignment horizontal="left"/>
    </xf>
    <xf numFmtId="9" fontId="2" fillId="2" borderId="0" xfId="6" applyFont="1" applyFill="1" applyBorder="1" applyAlignment="1" applyProtection="1">
      <alignment horizontal="right" vertical="center"/>
    </xf>
    <xf numFmtId="0" fontId="8" fillId="2" borderId="49" xfId="1" applyNumberFormat="1" applyFont="1" applyFill="1" applyBorder="1" applyAlignment="1">
      <alignment horizontal="left" vertical="center"/>
    </xf>
    <xf numFmtId="0" fontId="8" fillId="2" borderId="27" xfId="1" applyNumberFormat="1" applyFont="1" applyFill="1" applyBorder="1" applyAlignment="1">
      <alignment horizontal="left" vertical="center"/>
    </xf>
    <xf numFmtId="0" fontId="8" fillId="2" borderId="44" xfId="1" applyNumberFormat="1" applyFont="1" applyFill="1" applyBorder="1" applyAlignment="1">
      <alignment horizontal="left" vertical="center"/>
    </xf>
    <xf numFmtId="169" fontId="8" fillId="2" borderId="48" xfId="1" applyNumberFormat="1" applyFont="1" applyFill="1" applyBorder="1" applyAlignment="1">
      <alignment horizontal="left" vertical="center"/>
    </xf>
    <xf numFmtId="169" fontId="8" fillId="2" borderId="20" xfId="1" applyNumberFormat="1" applyFont="1" applyFill="1" applyBorder="1" applyAlignment="1">
      <alignment horizontal="left" vertical="center"/>
    </xf>
    <xf numFmtId="169" fontId="8" fillId="2" borderId="21" xfId="1" applyNumberFormat="1" applyFont="1" applyFill="1" applyBorder="1" applyAlignment="1">
      <alignment horizontal="left" vertical="center"/>
    </xf>
    <xf numFmtId="44" fontId="45" fillId="0" borderId="0" xfId="1" applyFont="1" applyAlignment="1">
      <alignment horizontal="left"/>
    </xf>
    <xf numFmtId="0" fontId="45" fillId="0" borderId="0" xfId="0" applyFont="1" applyAlignment="1">
      <alignment horizontal="left"/>
    </xf>
    <xf numFmtId="0" fontId="12" fillId="2" borderId="8"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6" xfId="0" applyFont="1" applyFill="1" applyBorder="1" applyAlignment="1" applyProtection="1">
      <alignment horizontal="center" vertical="center" wrapText="1"/>
    </xf>
    <xf numFmtId="0" fontId="2" fillId="2" borderId="8" xfId="0" applyFont="1" applyFill="1" applyBorder="1" applyAlignment="1" applyProtection="1">
      <alignment horizontal="left" wrapText="1"/>
    </xf>
    <xf numFmtId="0" fontId="2" fillId="2" borderId="1" xfId="0" applyFont="1" applyFill="1" applyBorder="1" applyAlignment="1" applyProtection="1">
      <alignment horizontal="left" wrapText="1"/>
    </xf>
    <xf numFmtId="0" fontId="0" fillId="0" borderId="0" xfId="0" applyAlignment="1">
      <alignment horizontal="left" vertical="center" indent="2"/>
    </xf>
    <xf numFmtId="0" fontId="0" fillId="0" borderId="70" xfId="0" applyBorder="1" applyAlignment="1">
      <alignment horizontal="left" vertical="center" indent="2"/>
    </xf>
    <xf numFmtId="169" fontId="8" fillId="2" borderId="50" xfId="1" applyNumberFormat="1" applyFont="1" applyFill="1" applyBorder="1" applyAlignment="1">
      <alignment horizontal="left" vertical="center"/>
    </xf>
    <xf numFmtId="169" fontId="8" fillId="2" borderId="14" xfId="1" applyNumberFormat="1" applyFont="1" applyFill="1" applyBorder="1" applyAlignment="1">
      <alignment horizontal="left" vertical="center"/>
    </xf>
    <xf numFmtId="169" fontId="8" fillId="2" borderId="13" xfId="1" applyNumberFormat="1" applyFont="1" applyFill="1" applyBorder="1" applyAlignment="1">
      <alignment horizontal="left" vertical="center"/>
    </xf>
    <xf numFmtId="0" fontId="8" fillId="2" borderId="50" xfId="1" applyNumberFormat="1" applyFont="1" applyFill="1" applyBorder="1" applyAlignment="1">
      <alignment horizontal="left" vertical="center"/>
    </xf>
    <xf numFmtId="0" fontId="8" fillId="2" borderId="14" xfId="1" applyNumberFormat="1" applyFont="1" applyFill="1" applyBorder="1" applyAlignment="1">
      <alignment horizontal="left" vertical="center"/>
    </xf>
    <xf numFmtId="0" fontId="8" fillId="2" borderId="13" xfId="1" applyNumberFormat="1" applyFont="1" applyFill="1" applyBorder="1" applyAlignment="1">
      <alignment horizontal="left" vertical="center"/>
    </xf>
    <xf numFmtId="0" fontId="3" fillId="2" borderId="0" xfId="0" applyFont="1" applyFill="1" applyBorder="1" applyAlignment="1">
      <alignment horizontal="center" vertical="center"/>
    </xf>
    <xf numFmtId="0" fontId="2" fillId="0" borderId="0" xfId="0" applyFont="1" applyAlignment="1">
      <alignment horizontal="right" vertical="center"/>
    </xf>
    <xf numFmtId="0" fontId="2" fillId="0" borderId="70" xfId="0" applyFont="1" applyBorder="1" applyAlignment="1">
      <alignment horizontal="right" vertical="center"/>
    </xf>
    <xf numFmtId="44" fontId="2" fillId="0" borderId="5" xfId="1" applyFont="1" applyBorder="1" applyAlignment="1">
      <alignment horizontal="right" vertical="center" wrapText="1"/>
    </xf>
    <xf numFmtId="44" fontId="2" fillId="0" borderId="45" xfId="1" applyFont="1" applyBorder="1" applyAlignment="1">
      <alignment horizontal="right" vertical="center" wrapText="1"/>
    </xf>
    <xf numFmtId="0" fontId="0" fillId="0" borderId="0" xfId="0" applyFont="1" applyAlignment="1" applyProtection="1">
      <alignment horizontal="left" vertical="center" indent="2"/>
    </xf>
    <xf numFmtId="0" fontId="0" fillId="0" borderId="70" xfId="0" applyFont="1" applyBorder="1" applyAlignment="1" applyProtection="1">
      <alignment horizontal="left" vertical="center" indent="2"/>
    </xf>
    <xf numFmtId="0" fontId="2" fillId="0" borderId="0" xfId="0" applyFont="1" applyAlignment="1" applyProtection="1">
      <alignment horizontal="right" vertical="center"/>
    </xf>
    <xf numFmtId="0" fontId="2" fillId="0" borderId="70" xfId="0" applyFont="1" applyBorder="1" applyAlignment="1" applyProtection="1">
      <alignment horizontal="right" vertical="center"/>
    </xf>
    <xf numFmtId="0" fontId="45" fillId="0" borderId="0" xfId="0" applyFont="1" applyBorder="1" applyAlignment="1" applyProtection="1">
      <alignment horizontal="left"/>
      <protection locked="0"/>
    </xf>
    <xf numFmtId="0" fontId="2" fillId="0" borderId="5" xfId="0" applyFont="1" applyBorder="1" applyAlignment="1">
      <alignment horizontal="right" vertical="center" wrapText="1"/>
    </xf>
    <xf numFmtId="0" fontId="2" fillId="0" borderId="45" xfId="0" applyFont="1" applyBorder="1" applyAlignment="1">
      <alignment horizontal="right" vertical="center" wrapText="1"/>
    </xf>
    <xf numFmtId="0" fontId="46" fillId="0" borderId="0" xfId="0" applyFont="1" applyFill="1" applyBorder="1" applyAlignment="1" applyProtection="1">
      <alignment horizontal="center" vertical="center" wrapText="1"/>
    </xf>
    <xf numFmtId="0" fontId="0" fillId="2" borderId="8"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0" fillId="2" borderId="46" xfId="0" applyFont="1" applyFill="1" applyBorder="1" applyAlignment="1" applyProtection="1">
      <alignment horizontal="left" vertical="center" wrapText="1"/>
    </xf>
    <xf numFmtId="0" fontId="37" fillId="0" borderId="48"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64" xfId="0" applyFont="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47" xfId="0" applyFont="1" applyFill="1" applyBorder="1" applyAlignment="1" applyProtection="1">
      <alignment horizontal="center" vertical="center" wrapText="1"/>
    </xf>
    <xf numFmtId="0" fontId="37" fillId="0" borderId="74" xfId="0" applyFont="1" applyBorder="1" applyAlignment="1" applyProtection="1">
      <alignment horizontal="left" vertical="center" wrapText="1"/>
      <protection locked="0"/>
    </xf>
    <xf numFmtId="0" fontId="37" fillId="0" borderId="2" xfId="0" applyFont="1" applyBorder="1" applyAlignment="1" applyProtection="1">
      <alignment horizontal="left" vertical="center" wrapText="1"/>
      <protection locked="0"/>
    </xf>
    <xf numFmtId="0" fontId="37" fillId="0" borderId="75"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27" xfId="0" applyFont="1" applyBorder="1" applyAlignment="1" applyProtection="1">
      <alignment horizontal="left" vertical="center" wrapText="1"/>
      <protection locked="0"/>
    </xf>
    <xf numFmtId="0" fontId="37" fillId="0" borderId="63" xfId="0" applyFont="1" applyBorder="1" applyAlignment="1" applyProtection="1">
      <alignment horizontal="left" vertical="center" wrapText="1"/>
      <protection locked="0"/>
    </xf>
    <xf numFmtId="0" fontId="37" fillId="0" borderId="50"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7" fillId="0" borderId="61" xfId="0" applyFont="1" applyBorder="1" applyAlignment="1" applyProtection="1">
      <alignment horizontal="left" vertical="center" wrapText="1"/>
      <protection locked="0"/>
    </xf>
    <xf numFmtId="0" fontId="4" fillId="0" borderId="0" xfId="0" applyFont="1" applyAlignment="1">
      <alignment horizontal="left" vertical="center"/>
    </xf>
    <xf numFmtId="0" fontId="4" fillId="7" borderId="0" xfId="0" applyFont="1" applyFill="1" applyAlignment="1" applyProtection="1">
      <alignment horizontal="center" vertical="center"/>
      <protection locked="0"/>
    </xf>
    <xf numFmtId="0" fontId="8" fillId="0" borderId="6" xfId="0" quotePrefix="1" applyFont="1" applyFill="1" applyBorder="1" applyAlignment="1" applyProtection="1">
      <alignment horizontal="left" vertical="center" wrapText="1" indent="1"/>
    </xf>
    <xf numFmtId="0" fontId="8" fillId="0" borderId="0" xfId="0" quotePrefix="1" applyFont="1" applyFill="1" applyBorder="1" applyAlignment="1" applyProtection="1">
      <alignment horizontal="left" vertical="center" wrapText="1" indent="1"/>
    </xf>
    <xf numFmtId="0" fontId="8" fillId="0" borderId="7" xfId="0" quotePrefix="1" applyFont="1" applyFill="1" applyBorder="1" applyAlignment="1" applyProtection="1">
      <alignment horizontal="left" vertical="center" wrapText="1" indent="1"/>
    </xf>
    <xf numFmtId="164" fontId="5" fillId="0" borderId="0" xfId="1" quotePrefix="1" applyNumberFormat="1" applyFont="1" applyFill="1" applyBorder="1" applyAlignment="1" applyProtection="1">
      <alignment horizontal="right" vertical="center"/>
    </xf>
    <xf numFmtId="10" fontId="5" fillId="8" borderId="0" xfId="2" quotePrefix="1" applyNumberFormat="1" applyFont="1" applyFill="1" applyBorder="1" applyAlignment="1" applyProtection="1">
      <alignment horizontal="right" vertical="center"/>
    </xf>
    <xf numFmtId="0" fontId="2" fillId="0" borderId="11" xfId="0" quotePrefix="1" applyFont="1" applyFill="1" applyBorder="1" applyAlignment="1" applyProtection="1">
      <alignment horizontal="left" vertical="center"/>
    </xf>
    <xf numFmtId="0" fontId="2" fillId="0" borderId="1" xfId="0" quotePrefix="1" applyFont="1" applyFill="1" applyBorder="1" applyAlignment="1" applyProtection="1">
      <alignment horizontal="left" vertical="center"/>
    </xf>
    <xf numFmtId="0" fontId="2" fillId="0" borderId="9" xfId="0" quotePrefix="1" applyFont="1" applyFill="1" applyBorder="1" applyAlignment="1" applyProtection="1">
      <alignment horizontal="left" vertical="center"/>
    </xf>
    <xf numFmtId="0" fontId="8" fillId="0" borderId="6" xfId="0" quotePrefix="1" applyFont="1" applyFill="1" applyBorder="1" applyAlignment="1" applyProtection="1">
      <alignment horizontal="left" vertical="center" indent="1"/>
    </xf>
    <xf numFmtId="0" fontId="8" fillId="0" borderId="0" xfId="0" quotePrefix="1" applyFont="1" applyFill="1" applyBorder="1" applyAlignment="1" applyProtection="1">
      <alignment horizontal="left" vertical="center" indent="1"/>
    </xf>
    <xf numFmtId="0" fontId="8" fillId="0" borderId="7" xfId="0" quotePrefix="1" applyFont="1" applyFill="1" applyBorder="1" applyAlignment="1" applyProtection="1">
      <alignment horizontal="left" vertical="center" indent="1"/>
    </xf>
    <xf numFmtId="0" fontId="2" fillId="0" borderId="8" xfId="0" quotePrefix="1" applyFont="1" applyFill="1" applyBorder="1" applyAlignment="1" applyProtection="1">
      <alignment horizontal="left" vertical="center"/>
    </xf>
    <xf numFmtId="0" fontId="0" fillId="0" borderId="0" xfId="0" quotePrefix="1" applyBorder="1" applyAlignment="1" applyProtection="1">
      <alignment horizontal="left" vertical="center" indent="1"/>
    </xf>
    <xf numFmtId="0" fontId="0" fillId="0" borderId="7" xfId="0" quotePrefix="1" applyBorder="1" applyAlignment="1" applyProtection="1">
      <alignment horizontal="left" vertical="center" indent="1"/>
    </xf>
    <xf numFmtId="0" fontId="0" fillId="0" borderId="12" xfId="0" quotePrefix="1" applyBorder="1" applyAlignment="1" applyProtection="1">
      <alignment horizontal="left" vertical="center" indent="1"/>
    </xf>
    <xf numFmtId="0" fontId="0" fillId="0" borderId="17" xfId="0" quotePrefix="1" applyBorder="1" applyAlignment="1" applyProtection="1">
      <alignment horizontal="left" vertical="center" indent="1"/>
    </xf>
    <xf numFmtId="0" fontId="3" fillId="4" borderId="12" xfId="0" quotePrefix="1" applyFont="1" applyFill="1" applyBorder="1" applyAlignment="1" applyProtection="1">
      <alignment horizontal="left" vertical="center" indent="2"/>
    </xf>
    <xf numFmtId="0" fontId="3" fillId="4" borderId="17" xfId="0" quotePrefix="1" applyFont="1" applyFill="1" applyBorder="1" applyAlignment="1" applyProtection="1">
      <alignment horizontal="left" vertical="center" indent="2"/>
    </xf>
    <xf numFmtId="0" fontId="3" fillId="3" borderId="12" xfId="0" quotePrefix="1" applyFont="1" applyFill="1" applyBorder="1" applyAlignment="1" applyProtection="1">
      <alignment horizontal="left" vertical="center" indent="2"/>
    </xf>
    <xf numFmtId="0" fontId="2" fillId="4" borderId="5" xfId="0" quotePrefix="1" applyFont="1" applyFill="1" applyBorder="1" applyAlignment="1" applyProtection="1">
      <alignment horizontal="left" vertical="center"/>
    </xf>
    <xf numFmtId="0" fontId="2" fillId="4" borderId="54" xfId="0" quotePrefix="1" applyFont="1" applyFill="1" applyBorder="1" applyAlignment="1" applyProtection="1">
      <alignment horizontal="left" vertical="center"/>
    </xf>
    <xf numFmtId="0" fontId="2" fillId="3" borderId="5" xfId="0" quotePrefix="1" applyFont="1" applyFill="1" applyBorder="1" applyAlignment="1" applyProtection="1">
      <alignment horizontal="right" vertical="center"/>
    </xf>
    <xf numFmtId="166" fontId="26" fillId="8" borderId="8" xfId="5" applyNumberFormat="1" applyFont="1" applyFill="1" applyBorder="1" applyAlignment="1" applyProtection="1">
      <alignment horizontal="center"/>
      <protection locked="0"/>
    </xf>
    <xf numFmtId="166" fontId="26" fillId="8" borderId="1" xfId="5" applyNumberFormat="1" applyFont="1" applyFill="1" applyBorder="1" applyAlignment="1" applyProtection="1">
      <alignment horizontal="center"/>
      <protection locked="0"/>
    </xf>
    <xf numFmtId="166" fontId="26" fillId="8" borderId="46" xfId="5" applyNumberFormat="1" applyFont="1" applyFill="1" applyBorder="1" applyAlignment="1" applyProtection="1">
      <alignment horizontal="center"/>
      <protection locked="0"/>
    </xf>
    <xf numFmtId="49" fontId="24" fillId="0" borderId="78" xfId="3" applyNumberFormat="1" applyFont="1" applyBorder="1" applyAlignment="1" applyProtection="1">
      <alignment horizontal="center" vertical="center"/>
    </xf>
    <xf numFmtId="49" fontId="24" fillId="0" borderId="81" xfId="3" applyNumberFormat="1" applyFont="1" applyBorder="1" applyAlignment="1" applyProtection="1">
      <alignment horizontal="center" vertical="center"/>
    </xf>
    <xf numFmtId="44" fontId="1" fillId="0" borderId="4" xfId="1" applyFont="1" applyBorder="1" applyAlignment="1" applyProtection="1">
      <alignment vertical="center"/>
      <protection locked="0"/>
    </xf>
    <xf numFmtId="0" fontId="3" fillId="0" borderId="4" xfId="0" applyFont="1" applyBorder="1" applyAlignment="1" applyProtection="1">
      <alignment horizontal="left" vertical="center" indent="2"/>
      <protection locked="0"/>
    </xf>
    <xf numFmtId="0" fontId="3" fillId="0" borderId="18" xfId="0" applyFont="1" applyBorder="1" applyAlignment="1" applyProtection="1">
      <alignment horizontal="left" vertical="center" indent="2"/>
      <protection locked="0"/>
    </xf>
  </cellXfs>
  <cellStyles count="9">
    <cellStyle name="Comma 3" xfId="5" xr:uid="{FF302F39-9BEB-456F-B3C9-141CBF87E90F}"/>
    <cellStyle name="Comma 6" xfId="4" xr:uid="{61B517B7-CAB3-414E-BCCD-20D701FEEDBB}"/>
    <cellStyle name="Currency" xfId="1" builtinId="4"/>
    <cellStyle name="Hyperlink" xfId="8" builtinId="8"/>
    <cellStyle name="Normal" xfId="0" builtinId="0"/>
    <cellStyle name="Normal 2" xfId="3" xr:uid="{3C2CE112-F39A-4791-A789-6CF5FEE7D12F}"/>
    <cellStyle name="Normal 2 2" xfId="7" xr:uid="{25ED31AD-BE1F-486C-9AEA-EA82385BED88}"/>
    <cellStyle name="Percent" xfId="2" builtinId="5"/>
    <cellStyle name="Percent 2" xfId="6" xr:uid="{93E3386E-0D3B-43CE-9DA7-0F8EE94B701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ont>
        <b/>
        <i val="0"/>
        <color theme="9" tint="-0.24994659260841701"/>
      </font>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22</xdr:col>
      <xdr:colOff>106073</xdr:colOff>
      <xdr:row>5</xdr:row>
      <xdr:rowOff>146338</xdr:rowOff>
    </xdr:from>
    <xdr:to>
      <xdr:col>25</xdr:col>
      <xdr:colOff>83101</xdr:colOff>
      <xdr:row>32</xdr:row>
      <xdr:rowOff>516020</xdr:rowOff>
    </xdr:to>
    <xdr:sp macro="" textlink="">
      <xdr:nvSpPr>
        <xdr:cNvPr id="3" name="TextBox 2">
          <a:extLst>
            <a:ext uri="{FF2B5EF4-FFF2-40B4-BE49-F238E27FC236}">
              <a16:creationId xmlns:a16="http://schemas.microsoft.com/office/drawing/2014/main" id="{26842B4A-1E2A-75B1-9E3A-7486B4E96DA7}"/>
            </a:ext>
          </a:extLst>
        </xdr:cNvPr>
        <xdr:cNvSpPr txBox="1"/>
      </xdr:nvSpPr>
      <xdr:spPr>
        <a:xfrm>
          <a:off x="18358354" y="1182182"/>
          <a:ext cx="4120403" cy="74658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t>PART I: INCOME Instructions</a:t>
          </a:r>
        </a:p>
        <a:p>
          <a:r>
            <a:rPr lang="en-US" sz="1000" b="0"/>
            <a:t>-- Enter required</a:t>
          </a:r>
          <a:r>
            <a:rPr lang="en-US" sz="1000" b="0" baseline="0"/>
            <a:t> data ONLY in yellow-shaded fields.</a:t>
          </a:r>
        </a:p>
        <a:p>
          <a:endParaRPr lang="en-US" sz="1000" b="0"/>
        </a:p>
        <a:p>
          <a:r>
            <a:rPr lang="en-US" sz="1000" b="0" u="sng"/>
            <a:t>STEP ONE - (ONLY for Projects with Low-Income Units)</a:t>
          </a:r>
          <a:r>
            <a:rPr lang="en-US" sz="1000" b="0" u="none"/>
            <a:t>:</a:t>
          </a:r>
        </a:p>
        <a:p>
          <a:r>
            <a:rPr lang="en-US" sz="1000" b="0" u="none"/>
            <a:t>If the</a:t>
          </a:r>
          <a:r>
            <a:rPr lang="en-US" sz="1000" b="0" u="none" baseline="0"/>
            <a:t> project includes low-income housing units, rent will </a:t>
          </a:r>
          <a:r>
            <a:rPr lang="en-US" sz="1000" b="0" u="none"/>
            <a:t>be calculated based on Area Median Income (AMI), navigate</a:t>
          </a:r>
          <a:r>
            <a:rPr lang="en-US" sz="1000" b="0" u="none" baseline="0"/>
            <a:t> to the worksheet entitled "AMI" and select the county in which the project will be located.</a:t>
          </a:r>
        </a:p>
        <a:p>
          <a:endParaRPr lang="en-US" sz="1000" b="0" u="none" baseline="0"/>
        </a:p>
        <a:p>
          <a:r>
            <a:rPr lang="en-US" sz="1000" b="0" u="sng" baseline="0"/>
            <a:t>STEP TWO - Unit Type</a:t>
          </a:r>
          <a:r>
            <a:rPr lang="en-US" sz="1000" b="0" u="none" baseline="0"/>
            <a:t>:</a:t>
          </a:r>
        </a:p>
        <a:p>
          <a:r>
            <a:rPr lang="en-US" sz="1000" b="0" u="none" baseline="0"/>
            <a:t>Housing units for this project will be sorted into one of 3 categories:</a:t>
          </a:r>
        </a:p>
        <a:p>
          <a:r>
            <a:rPr lang="en-US" sz="1000" b="0" u="none" baseline="0"/>
            <a:t>Program-Assisted Units for Qualifying Populations; Program-Assised Untis for Low-Income Households; and Market-Rate Units.</a:t>
          </a:r>
        </a:p>
        <a:p>
          <a:r>
            <a:rPr lang="en-US" sz="1000" b="0" u="none" baseline="0"/>
            <a:t>For each unit size and style, enter </a:t>
          </a:r>
          <a:r>
            <a:rPr lang="en-US" sz="1000" b="0" baseline="0">
              <a:solidFill>
                <a:schemeClr val="dk1"/>
              </a:solidFill>
              <a:effectLst/>
              <a:latin typeface="+mn-lt"/>
              <a:ea typeface="+mn-ea"/>
              <a:cs typeface="+mn-cs"/>
            </a:rPr>
            <a:t>in the following columns:</a:t>
          </a:r>
        </a:p>
        <a:p>
          <a:r>
            <a:rPr lang="en-US" sz="1000" b="0" baseline="0">
              <a:solidFill>
                <a:schemeClr val="dk1"/>
              </a:solidFill>
              <a:effectLst/>
              <a:latin typeface="+mn-lt"/>
              <a:ea typeface="+mn-ea"/>
              <a:cs typeface="+mn-cs"/>
            </a:rPr>
            <a:t>(A) unit name/description</a:t>
          </a:r>
        </a:p>
        <a:p>
          <a:r>
            <a:rPr lang="en-US" sz="1000" b="0" baseline="0">
              <a:solidFill>
                <a:schemeClr val="dk1"/>
              </a:solidFill>
              <a:effectLst/>
              <a:latin typeface="+mn-lt"/>
              <a:ea typeface="+mn-ea"/>
              <a:cs typeface="+mn-cs"/>
            </a:rPr>
            <a:t>(B) number of bedrooms</a:t>
          </a:r>
        </a:p>
        <a:p>
          <a:r>
            <a:rPr lang="en-US" sz="1000" b="0" baseline="0">
              <a:solidFill>
                <a:schemeClr val="dk1"/>
              </a:solidFill>
              <a:effectLst/>
              <a:latin typeface="+mn-lt"/>
              <a:ea typeface="+mn-ea"/>
              <a:cs typeface="+mn-cs"/>
            </a:rPr>
            <a:t>(C) number of bathrooms</a:t>
          </a:r>
        </a:p>
        <a:p>
          <a:r>
            <a:rPr lang="en-US" sz="1000" b="0" baseline="0">
              <a:solidFill>
                <a:schemeClr val="dk1"/>
              </a:solidFill>
              <a:effectLst/>
              <a:latin typeface="+mn-lt"/>
              <a:ea typeface="+mn-ea"/>
              <a:cs typeface="+mn-cs"/>
            </a:rPr>
            <a:t>(D) total number of units of this unit style</a:t>
          </a:r>
          <a:endParaRPr lang="en-US" sz="1000" b="0" u="none" baseline="0"/>
        </a:p>
        <a:p>
          <a:endParaRPr lang="en-US" sz="1000" b="0" u="none" baseline="0"/>
        </a:p>
        <a:p>
          <a:r>
            <a:rPr lang="en-US" sz="1000" b="0" u="sng" baseline="0"/>
            <a:t>STEP THREE - Monthly Rent</a:t>
          </a:r>
          <a:r>
            <a:rPr lang="en-US" sz="1000" b="0" u="none" baseline="0"/>
            <a:t>:</a:t>
          </a:r>
        </a:p>
        <a:p>
          <a:r>
            <a:rPr lang="en-US" sz="1000" b="0" u="none" baseline="0"/>
            <a:t>For each unit size and style, enter in the following columns:</a:t>
          </a:r>
        </a:p>
        <a:p>
          <a:r>
            <a:rPr lang="en-US" sz="1000" b="0" u="none" baseline="0"/>
            <a:t>(F) Enter the Gross Monthly Rent for each unit type.</a:t>
          </a:r>
        </a:p>
        <a:p>
          <a:r>
            <a:rPr lang="en-US" sz="1000" b="0" u="none" baseline="0"/>
            <a:t>(G) Enter the Tenant Utility Allowance according to the HUD Utility Schedule.</a:t>
          </a:r>
        </a:p>
        <a:p>
          <a:r>
            <a:rPr lang="en-US" sz="1000" b="0" u="none" baseline="0"/>
            <a:t>Net Monthly Rent will be calculated per unit and total per unit type in Columns H and I.</a:t>
          </a:r>
        </a:p>
        <a:p>
          <a:endParaRPr lang="en-US" sz="1000" b="0" u="none" baseline="0"/>
        </a:p>
        <a:p>
          <a:r>
            <a:rPr lang="en-US" sz="1000" b="0" u="sng" baseline="0"/>
            <a:t>STEP FOUR - Income Basis</a:t>
          </a:r>
          <a:r>
            <a:rPr lang="en-US" sz="1000" b="0" u="none" baseline="0"/>
            <a:t>:</a:t>
          </a:r>
        </a:p>
        <a:p>
          <a:r>
            <a:rPr lang="en-US" sz="1000" b="0" u="none" baseline="0"/>
            <a:t>For Low-Income Units ONLY, select the income limit from the dropdown menu in Column K that applies to each unit type. This will populate the Maximum Monthly Rent for the selected AMI in Column L.</a:t>
          </a:r>
        </a:p>
        <a:p>
          <a:r>
            <a:rPr lang="en-US" sz="1000" b="0" u="none" baseline="0"/>
            <a:t>Column M will determine if the propsed rent limit for each unit type is equal to or lesser than the Maximum Monthly Rent. If the proposed rent limit is acceptable, Column M will display "APPROVED." If the proposed rent limit exceeds the Maximum Monthly Rent Limit, Column M will display "REVISE."</a:t>
          </a:r>
        </a:p>
        <a:p>
          <a:endParaRPr lang="en-US" sz="1000" b="0" u="none" baseline="0"/>
        </a:p>
        <a:p>
          <a:r>
            <a:rPr lang="en-US" sz="1000" b="0" u="sng" baseline="0"/>
            <a:t>STEP FIVE - Square Footage</a:t>
          </a:r>
          <a:r>
            <a:rPr lang="en-US" sz="1000" b="0" u="none" baseline="0"/>
            <a:t>:</a:t>
          </a:r>
        </a:p>
        <a:p>
          <a:r>
            <a:rPr lang="en-US" sz="1000" b="0" u="none" baseline="0"/>
            <a:t>Enter the residential finished square footage for an individual unit per unit type in Column O. Residential finished square footage does not include garages, storage areas, unfinished basements, storm shelters, common areas, or other areas outside of a housing unit's living quarters.</a:t>
          </a:r>
          <a:br>
            <a:rPr lang="en-US" sz="1000" b="0" u="none" baseline="0"/>
          </a:br>
          <a:r>
            <a:rPr lang="en-US" sz="1000" b="0" i="1" u="none" baseline="0"/>
            <a:t>If the project will provide a storm shelter that also will serve as a bathroom or bedroom closet, the architect must certify that such space qualifies as a storm shelter. If such space qualifies as a storm shelter, the square footage can be included in the residential living square footage of the unit. If the square footage is already included in the residential square footage as a bathroom or bedroom closet, do not break out the square footage for storm shelter in the Square Footage Summary table in Columns R through U.</a:t>
          </a:r>
          <a:endParaRPr lang="en-US" sz="1000" b="0" i="1" u="sng"/>
        </a:p>
      </xdr:txBody>
    </xdr:sp>
    <xdr:clientData/>
  </xdr:twoCellAnchor>
  <xdr:twoCellAnchor editAs="oneCell">
    <xdr:from>
      <xdr:col>22</xdr:col>
      <xdr:colOff>106073</xdr:colOff>
      <xdr:row>37</xdr:row>
      <xdr:rowOff>416717</xdr:rowOff>
    </xdr:from>
    <xdr:to>
      <xdr:col>25</xdr:col>
      <xdr:colOff>75480</xdr:colOff>
      <xdr:row>57</xdr:row>
      <xdr:rowOff>204107</xdr:rowOff>
    </xdr:to>
    <xdr:sp macro="" textlink="">
      <xdr:nvSpPr>
        <xdr:cNvPr id="4" name="TextBox 3">
          <a:extLst>
            <a:ext uri="{FF2B5EF4-FFF2-40B4-BE49-F238E27FC236}">
              <a16:creationId xmlns:a16="http://schemas.microsoft.com/office/drawing/2014/main" id="{15915F41-29D6-48BC-8612-29763B3A26AF}"/>
            </a:ext>
          </a:extLst>
        </xdr:cNvPr>
        <xdr:cNvSpPr txBox="1"/>
      </xdr:nvSpPr>
      <xdr:spPr>
        <a:xfrm>
          <a:off x="18350984" y="9454128"/>
          <a:ext cx="4119585" cy="52869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t>PART II: EXPENSES Instructions</a:t>
          </a:r>
        </a:p>
        <a:p>
          <a:pPr marL="0" marR="0" lvl="0" indent="0" defTabSz="914400" eaLnBrk="1" fontAlgn="auto" latinLnBrk="0" hangingPunct="1">
            <a:lnSpc>
              <a:spcPct val="100000"/>
            </a:lnSpc>
            <a:spcBef>
              <a:spcPts val="0"/>
            </a:spcBef>
            <a:spcAft>
              <a:spcPts val="0"/>
            </a:spcAft>
            <a:buClrTx/>
            <a:buSzTx/>
            <a:buFontTx/>
            <a:buNone/>
            <a:tabLst/>
            <a:defRPr/>
          </a:pPr>
          <a:r>
            <a:rPr lang="en-US" sz="1000" b="0">
              <a:solidFill>
                <a:schemeClr val="dk1"/>
              </a:solidFill>
              <a:effectLst/>
              <a:latin typeface="+mn-lt"/>
              <a:ea typeface="+mn-ea"/>
              <a:cs typeface="+mn-cs"/>
            </a:rPr>
            <a:t>-- Enter required</a:t>
          </a:r>
          <a:r>
            <a:rPr lang="en-US" sz="1000" b="0" baseline="0">
              <a:solidFill>
                <a:schemeClr val="dk1"/>
              </a:solidFill>
              <a:effectLst/>
              <a:latin typeface="+mn-lt"/>
              <a:ea typeface="+mn-ea"/>
              <a:cs typeface="+mn-cs"/>
            </a:rPr>
            <a:t> data ONLY in yellow-shaded fields</a:t>
          </a:r>
        </a:p>
        <a:p>
          <a:r>
            <a:rPr lang="en-US" sz="1000" b="0" baseline="0">
              <a:solidFill>
                <a:schemeClr val="dk1"/>
              </a:solidFill>
              <a:effectLst/>
              <a:latin typeface="+mn-lt"/>
              <a:ea typeface="+mn-ea"/>
              <a:cs typeface="+mn-cs"/>
            </a:rPr>
            <a:t>-- For all calculations, Column D will display the per-unit expense based on the number of units entered in the PART I: INCOME section at the top of this worksheet.</a:t>
          </a:r>
          <a:endParaRPr lang="en-US" sz="1000" b="0" u="none"/>
        </a:p>
        <a:p>
          <a:endParaRPr lang="en-US" sz="1000" b="0" u="none"/>
        </a:p>
        <a:p>
          <a:r>
            <a:rPr lang="en-US" sz="1000" b="0" u="sng"/>
            <a:t>ADMINISTRATIVE</a:t>
          </a:r>
          <a:r>
            <a:rPr lang="en-US" sz="1000" b="0" u="none"/>
            <a:t>:</a:t>
          </a:r>
        </a:p>
        <a:p>
          <a:r>
            <a:rPr lang="en-US" sz="1000" b="0" u="none" baseline="0"/>
            <a:t>Enter the estimated </a:t>
          </a:r>
          <a:r>
            <a:rPr lang="en-US" sz="1000" b="0" u="sng" baseline="0"/>
            <a:t>annual</a:t>
          </a:r>
          <a:r>
            <a:rPr lang="en-US" sz="1000" b="0" u="none" baseline="0"/>
            <a:t> costs for administrative expenses in Column C. For the "Management Fee" expense, enter the percentage in Column B. The annual cost will be calculated based on the Gross Annual Rent provided in PART I: INCOME. </a:t>
          </a:r>
        </a:p>
        <a:p>
          <a:endParaRPr lang="en-US" sz="1000" b="0" u="none" baseline="0"/>
        </a:p>
        <a:p>
          <a:r>
            <a:rPr lang="en-US" sz="1000" b="0" u="sng" baseline="0"/>
            <a:t>PAYROLL</a:t>
          </a:r>
          <a:r>
            <a:rPr lang="en-US" sz="1000" b="0" u="none" baseline="0"/>
            <a:t>:</a:t>
          </a:r>
        </a:p>
        <a:p>
          <a:r>
            <a:rPr lang="en-US" sz="1000" b="0" u="none" baseline="0"/>
            <a:t>Enter the estimated </a:t>
          </a:r>
          <a:r>
            <a:rPr lang="en-US" sz="1000" b="0" u="sng" baseline="0"/>
            <a:t>annual</a:t>
          </a:r>
          <a:r>
            <a:rPr lang="en-US" sz="1000" b="0" u="none" baseline="0"/>
            <a:t> costs for payroll expenses. For Fringe expenses, enter the desired percentage, and the annual and per-unit costs will be calculated using the sum of administrative and maintenance payroll expenses entered in C51 and C52.</a:t>
          </a:r>
        </a:p>
        <a:p>
          <a:endParaRPr lang="en-US" sz="1000" b="0" u="none" baseline="0"/>
        </a:p>
        <a:p>
          <a:r>
            <a:rPr lang="en-US" sz="1000" b="0" u="sng" baseline="0"/>
            <a:t>MAINTENANCE</a:t>
          </a:r>
          <a:r>
            <a:rPr lang="en-US" sz="1000" b="0" u="none" baseline="0"/>
            <a:t>:</a:t>
          </a:r>
        </a:p>
        <a:p>
          <a:r>
            <a:rPr lang="en-US" sz="1000" b="0" u="none" baseline="0"/>
            <a:t>Enter the estimated </a:t>
          </a:r>
          <a:r>
            <a:rPr lang="en-US" sz="1000" b="0" u="sng" baseline="0"/>
            <a:t>annual</a:t>
          </a:r>
          <a:r>
            <a:rPr lang="en-US" sz="1000" b="0" u="none" baseline="0"/>
            <a:t> costs for property maintenance expenses. </a:t>
          </a:r>
          <a:endParaRPr lang="en-US" sz="1000" b="0" baseline="0">
            <a:solidFill>
              <a:schemeClr val="dk1"/>
            </a:solidFill>
            <a:effectLst/>
            <a:latin typeface="+mn-lt"/>
            <a:ea typeface="+mn-ea"/>
            <a:cs typeface="+mn-cs"/>
          </a:endParaRPr>
        </a:p>
        <a:p>
          <a:endParaRPr lang="en-US" sz="1000" b="0" u="none" baseline="0"/>
        </a:p>
        <a:p>
          <a:r>
            <a:rPr lang="en-US" sz="1000" b="0" u="sng" baseline="0"/>
            <a:t>OPERATING</a:t>
          </a:r>
          <a:r>
            <a:rPr lang="en-US" sz="1000" b="0" u="none" baseline="0"/>
            <a:t>:</a:t>
          </a:r>
        </a:p>
        <a:p>
          <a:r>
            <a:rPr lang="en-US" sz="1000" b="0" u="none" baseline="0"/>
            <a:t>Enter the estimated </a:t>
          </a:r>
          <a:r>
            <a:rPr lang="en-US" sz="1000" b="0" u="sng" baseline="0"/>
            <a:t>annual</a:t>
          </a:r>
          <a:r>
            <a:rPr lang="en-US" sz="1000" b="0" u="none" baseline="0"/>
            <a:t> costs for operating expenses for the property. </a:t>
          </a:r>
        </a:p>
        <a:p>
          <a:endParaRPr lang="en-US" sz="1000" b="0" u="none" baseline="0"/>
        </a:p>
        <a:p>
          <a:r>
            <a:rPr lang="en-US" sz="1000" b="0" u="sng" baseline="0"/>
            <a:t>TAXES AND INSURANCE</a:t>
          </a:r>
          <a:r>
            <a:rPr lang="en-US" sz="1000" b="0" u="none" baseline="0"/>
            <a:t>:</a:t>
          </a:r>
        </a:p>
        <a:p>
          <a:r>
            <a:rPr lang="en-US" sz="1000" b="0" u="none" baseline="0"/>
            <a:t>Enter the estimated </a:t>
          </a:r>
          <a:r>
            <a:rPr lang="en-US" sz="1000" b="0" u="sng" baseline="0"/>
            <a:t>annual</a:t>
          </a:r>
          <a:r>
            <a:rPr lang="en-US" sz="1000" b="0" u="none" baseline="0"/>
            <a:t> costs for taxes and insurance expenses.</a:t>
          </a:r>
        </a:p>
        <a:p>
          <a:endParaRPr lang="en-US" sz="1000" b="0" u="none" baseline="0"/>
        </a:p>
        <a:p>
          <a:r>
            <a:rPr lang="en-US" sz="1000" b="0" u="sng" baseline="0"/>
            <a:t>RESERVES</a:t>
          </a:r>
          <a:r>
            <a:rPr lang="en-US" sz="1000" b="0" u="none" baseline="0"/>
            <a:t>:</a:t>
          </a:r>
        </a:p>
        <a:p>
          <a:r>
            <a:rPr lang="en-US" sz="1000" b="0" u="sng" baseline="0"/>
            <a:t>Replacement Reserves</a:t>
          </a:r>
          <a:r>
            <a:rPr lang="en-US" sz="1000" b="0" u="none" baseline="0"/>
            <a:t> must be based on the useful life of each major system and expected replacement cost in the Project. Scheduled payments to a replacement reserve are restricted for qualifying households only.</a:t>
          </a:r>
        </a:p>
        <a:p>
          <a:endParaRPr lang="en-US" sz="1000" b="0" u="none" baseline="0"/>
        </a:p>
        <a:p>
          <a:endParaRPr lang="en-US" sz="1000" b="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4497</xdr:colOff>
      <xdr:row>4</xdr:row>
      <xdr:rowOff>8656</xdr:rowOff>
    </xdr:from>
    <xdr:to>
      <xdr:col>7</xdr:col>
      <xdr:colOff>5515</xdr:colOff>
      <xdr:row>61</xdr:row>
      <xdr:rowOff>0</xdr:rowOff>
    </xdr:to>
    <xdr:sp macro="" textlink="">
      <xdr:nvSpPr>
        <xdr:cNvPr id="3" name="TextBox 1">
          <a:extLst>
            <a:ext uri="{FF2B5EF4-FFF2-40B4-BE49-F238E27FC236}">
              <a16:creationId xmlns:a16="http://schemas.microsoft.com/office/drawing/2014/main" id="{C864D107-34AC-EC3D-9CE4-8A4C437EB59E}"/>
            </a:ext>
          </a:extLst>
        </xdr:cNvPr>
        <xdr:cNvSpPr txBox="1"/>
      </xdr:nvSpPr>
      <xdr:spPr>
        <a:xfrm>
          <a:off x="12019936" y="631266"/>
          <a:ext cx="7867274" cy="1289778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sng" strike="noStrike">
              <a:solidFill>
                <a:schemeClr val="dk1"/>
              </a:solidFill>
              <a:effectLst/>
              <a:latin typeface="+mn-lt"/>
              <a:ea typeface="+mn-ea"/>
              <a:cs typeface="+mn-cs"/>
            </a:rPr>
            <a:t>PCS Instructions</a:t>
          </a:r>
          <a:endParaRPr lang="en-US" sz="1000" u="sng"/>
        </a:p>
        <a:p>
          <a:r>
            <a:rPr lang="en-US" sz="1000" b="0" i="1" u="none" strike="noStrike">
              <a:solidFill>
                <a:schemeClr val="dk1"/>
              </a:solidFill>
              <a:effectLst/>
              <a:latin typeface="+mn-lt"/>
              <a:ea typeface="+mn-ea"/>
              <a:cs typeface="+mn-cs"/>
            </a:rPr>
            <a:t>Enter the total cost for each project category in column D of this worksheet. In some cases, enter the assumed value in column C to calculate the expense</a:t>
          </a:r>
          <a:r>
            <a:rPr lang="en-US" sz="1000" b="0" i="1" u="none" strike="noStrike" baseline="0">
              <a:solidFill>
                <a:schemeClr val="dk1"/>
              </a:solidFill>
              <a:effectLst/>
              <a:latin typeface="+mn-lt"/>
              <a:ea typeface="+mn-ea"/>
              <a:cs typeface="+mn-cs"/>
            </a:rPr>
            <a:t> total </a:t>
          </a:r>
          <a:r>
            <a:rPr lang="en-US" sz="1000" b="0" i="1" u="none" strike="noStrike">
              <a:solidFill>
                <a:schemeClr val="dk1"/>
              </a:solidFill>
              <a:effectLst/>
              <a:latin typeface="+mn-lt"/>
              <a:ea typeface="+mn-ea"/>
              <a:cs typeface="+mn-cs"/>
            </a:rPr>
            <a:t>as a percentage of total costs or calculation per unit.</a:t>
          </a:r>
          <a:endParaRPr lang="en-US" sz="1000"/>
        </a:p>
        <a:p>
          <a:endParaRPr lang="en-US" sz="1000" b="0" i="0" u="none" strike="noStrike">
            <a:solidFill>
              <a:schemeClr val="dk1"/>
            </a:solidFill>
            <a:effectLst/>
            <a:latin typeface="+mn-lt"/>
            <a:ea typeface="+mn-ea"/>
            <a:cs typeface="+mn-cs"/>
          </a:endParaRPr>
        </a:p>
        <a:p>
          <a:r>
            <a:rPr lang="en-US" sz="1000" b="1" i="0" u="none" strike="noStrike">
              <a:solidFill>
                <a:schemeClr val="dk1"/>
              </a:solidFill>
              <a:effectLst/>
              <a:latin typeface="+mn-lt"/>
              <a:ea typeface="+mn-ea"/>
              <a:cs typeface="+mn-cs"/>
            </a:rPr>
            <a:t>- PART 1 -</a:t>
          </a:r>
          <a:r>
            <a:rPr lang="en-US" sz="1000" b="1" i="0" u="none" strike="noStrike" baseline="0">
              <a:solidFill>
                <a:schemeClr val="dk1"/>
              </a:solidFill>
              <a:effectLst/>
              <a:latin typeface="+mn-lt"/>
              <a:ea typeface="+mn-ea"/>
              <a:cs typeface="+mn-cs"/>
            </a:rPr>
            <a:t> Property Acquisition -</a:t>
          </a:r>
          <a:endParaRPr lang="en-US" sz="1000" b="1" i="0" u="none" strike="noStrike">
            <a:solidFill>
              <a:schemeClr val="dk1"/>
            </a:solidFill>
            <a:effectLst/>
            <a:latin typeface="+mn-lt"/>
            <a:ea typeface="+mn-ea"/>
            <a:cs typeface="+mn-cs"/>
          </a:endParaRPr>
        </a:p>
        <a:p>
          <a:r>
            <a:rPr lang="en-US" sz="1000" b="0" u="sng"/>
            <a:t>Line 1</a:t>
          </a:r>
          <a:r>
            <a:rPr lang="en-US" sz="1000" b="0" u="none"/>
            <a:t>.</a:t>
          </a:r>
          <a:r>
            <a:rPr lang="en-US" sz="1000"/>
            <a:t> </a:t>
          </a:r>
          <a:r>
            <a:rPr lang="en-US" sz="1000" b="0"/>
            <a:t>The p</a:t>
          </a:r>
          <a:r>
            <a:rPr lang="en-US" sz="1000" baseline="0"/>
            <a:t>ortion of the p</a:t>
          </a:r>
          <a:r>
            <a:rPr lang="en-US" sz="1000" b="0" i="0" u="none" strike="noStrike">
              <a:solidFill>
                <a:schemeClr val="dk1"/>
              </a:solidFill>
              <a:effectLst/>
              <a:latin typeface="+mn-lt"/>
              <a:ea typeface="+mn-ea"/>
              <a:cs typeface="+mn-cs"/>
            </a:rPr>
            <a:t>roject site acquisition cost attributable to the underlying land value.</a:t>
          </a:r>
        </a:p>
        <a:p>
          <a:r>
            <a:rPr lang="en-US" sz="1000" i="1"/>
            <a:t>Note: If a project site has improvements (e.g., buildings,</a:t>
          </a:r>
          <a:r>
            <a:rPr lang="en-US" sz="1000" i="1" baseline="0"/>
            <a:t> parking lots, etc.), then the property appraisal for the site should identify a separate value for the improvements as well as the underlying land.</a:t>
          </a:r>
          <a:endParaRPr lang="en-US" sz="1000" i="1"/>
        </a:p>
        <a:p>
          <a:r>
            <a:rPr lang="en-US" sz="1000" b="0" i="0" u="sng" strike="noStrike">
              <a:solidFill>
                <a:schemeClr val="dk1"/>
              </a:solidFill>
              <a:effectLst/>
              <a:latin typeface="+mn-lt"/>
              <a:ea typeface="+mn-ea"/>
              <a:cs typeface="+mn-cs"/>
            </a:rPr>
            <a:t>Line 2</a:t>
          </a:r>
          <a:r>
            <a:rPr lang="en-US" sz="1000" b="0" i="0" u="none" strike="noStrike">
              <a:solidFill>
                <a:schemeClr val="dk1"/>
              </a:solidFill>
              <a:effectLst/>
              <a:latin typeface="+mn-lt"/>
              <a:ea typeface="+mn-ea"/>
              <a:cs typeface="+mn-cs"/>
            </a:rPr>
            <a:t>. The portion of the project site acquisition cost attributable to the value of any improvements (e.g., buildings, parking lots, etc.).</a:t>
          </a:r>
        </a:p>
        <a:p>
          <a:r>
            <a:rPr lang="en-US" sz="1000" b="0" i="1" u="none" strike="noStrike">
              <a:solidFill>
                <a:schemeClr val="dk1"/>
              </a:solidFill>
              <a:effectLst/>
              <a:latin typeface="+mn-lt"/>
              <a:ea typeface="+mn-ea"/>
              <a:cs typeface="+mn-cs"/>
            </a:rPr>
            <a:t>Note: The value of the building (improvements) portion plus the land portion equals the total acquisition cost. Typical fees</a:t>
          </a:r>
          <a:r>
            <a:rPr lang="en-US" sz="1000" b="0" i="1" u="none" strike="noStrike" baseline="0">
              <a:solidFill>
                <a:schemeClr val="dk1"/>
              </a:solidFill>
              <a:effectLst/>
              <a:latin typeface="+mn-lt"/>
              <a:ea typeface="+mn-ea"/>
              <a:cs typeface="+mn-cs"/>
            </a:rPr>
            <a:t> and expenses associated with acquisition (recording, transfer, broker commissions, etc.) should be entered in Line 15.</a:t>
          </a:r>
        </a:p>
        <a:p>
          <a:endParaRPr lang="en-US" sz="1000" b="1" i="0" u="none" strike="noStrike" baseline="0">
            <a:solidFill>
              <a:schemeClr val="dk1"/>
            </a:solidFill>
            <a:effectLst/>
            <a:latin typeface="+mn-lt"/>
            <a:ea typeface="+mn-ea"/>
            <a:cs typeface="+mn-cs"/>
          </a:endParaRPr>
        </a:p>
        <a:p>
          <a:r>
            <a:rPr lang="en-US" sz="1000" b="1" i="0" u="none" strike="noStrike" baseline="0">
              <a:solidFill>
                <a:schemeClr val="dk1"/>
              </a:solidFill>
              <a:effectLst/>
              <a:latin typeface="+mn-lt"/>
              <a:ea typeface="+mn-ea"/>
              <a:cs typeface="+mn-cs"/>
            </a:rPr>
            <a:t>- PART 2 - Site Work -</a:t>
          </a:r>
          <a:endParaRPr lang="en-US" sz="1000" b="1" i="0"/>
        </a:p>
        <a:p>
          <a:r>
            <a:rPr lang="en-US" sz="1000" b="0" i="0" u="sng" strike="noStrike">
              <a:solidFill>
                <a:schemeClr val="dk1"/>
              </a:solidFill>
              <a:effectLst/>
              <a:latin typeface="+mn-lt"/>
              <a:ea typeface="+mn-ea"/>
              <a:cs typeface="+mn-cs"/>
            </a:rPr>
            <a:t>Line 3</a:t>
          </a:r>
          <a:r>
            <a:rPr lang="en-US" sz="1000" b="0" i="0" u="none" strike="noStrike">
              <a:solidFill>
                <a:schemeClr val="dk1"/>
              </a:solidFill>
              <a:effectLst/>
              <a:latin typeface="+mn-lt"/>
              <a:ea typeface="+mn-ea"/>
              <a:cs typeface="+mn-cs"/>
            </a:rPr>
            <a:t>.</a:t>
          </a:r>
          <a:r>
            <a:rPr lang="en-US" sz="1000"/>
            <a:t> Costs associated</a:t>
          </a:r>
          <a:r>
            <a:rPr lang="en-US" sz="1000" baseline="0"/>
            <a:t> with i</a:t>
          </a:r>
          <a:r>
            <a:rPr lang="en-US" sz="1000" b="0" i="0" u="none" strike="noStrike">
              <a:solidFill>
                <a:schemeClr val="dk1"/>
              </a:solidFill>
              <a:effectLst/>
              <a:latin typeface="+mn-lt"/>
              <a:ea typeface="+mn-ea"/>
              <a:cs typeface="+mn-cs"/>
            </a:rPr>
            <a:t>nfrastructure improvements that are located on the project site(s) (i.e., sewer, parking, sidewalks, etc.).</a:t>
          </a:r>
          <a:r>
            <a:rPr lang="en-US" sz="1000"/>
            <a:t> </a:t>
          </a:r>
        </a:p>
        <a:p>
          <a:r>
            <a:rPr lang="en-US" sz="1000" b="0" i="0" u="sng" strike="noStrike">
              <a:solidFill>
                <a:schemeClr val="dk1"/>
              </a:solidFill>
              <a:effectLst/>
              <a:latin typeface="+mn-lt"/>
              <a:ea typeface="+mn-ea"/>
              <a:cs typeface="+mn-cs"/>
            </a:rPr>
            <a:t>Line</a:t>
          </a:r>
          <a:r>
            <a:rPr lang="en-US" sz="1000" b="0" i="0" u="sng" strike="noStrike" baseline="0">
              <a:solidFill>
                <a:schemeClr val="dk1"/>
              </a:solidFill>
              <a:effectLst/>
              <a:latin typeface="+mn-lt"/>
              <a:ea typeface="+mn-ea"/>
              <a:cs typeface="+mn-cs"/>
            </a:rPr>
            <a:t> </a:t>
          </a:r>
          <a:r>
            <a:rPr lang="en-US" sz="1000" b="0" i="0" u="sng" strike="noStrike">
              <a:solidFill>
                <a:schemeClr val="dk1"/>
              </a:solidFill>
              <a:effectLst/>
              <a:latin typeface="+mn-lt"/>
              <a:ea typeface="+mn-ea"/>
              <a:cs typeface="+mn-cs"/>
            </a:rPr>
            <a:t>4</a:t>
          </a:r>
          <a:r>
            <a:rPr lang="en-US" sz="1000" b="0" i="0" u="none" strike="noStrike">
              <a:solidFill>
                <a:schemeClr val="dk1"/>
              </a:solidFill>
              <a:effectLst/>
              <a:latin typeface="+mn-lt"/>
              <a:ea typeface="+mn-ea"/>
              <a:cs typeface="+mn-cs"/>
            </a:rPr>
            <a:t>.</a:t>
          </a:r>
          <a:r>
            <a:rPr lang="en-US" sz="1000"/>
            <a:t> </a:t>
          </a:r>
          <a:r>
            <a:rPr lang="en-US" sz="1000">
              <a:solidFill>
                <a:schemeClr val="dk1"/>
              </a:solidFill>
              <a:effectLst/>
              <a:latin typeface="+mn-lt"/>
              <a:ea typeface="+mn-ea"/>
              <a:cs typeface="+mn-cs"/>
            </a:rPr>
            <a:t>Costs associated</a:t>
          </a:r>
          <a:r>
            <a:rPr lang="en-US" sz="1000" baseline="0">
              <a:solidFill>
                <a:schemeClr val="dk1"/>
              </a:solidFill>
              <a:effectLst/>
              <a:latin typeface="+mn-lt"/>
              <a:ea typeface="+mn-ea"/>
              <a:cs typeface="+mn-cs"/>
            </a:rPr>
            <a:t> with i</a:t>
          </a:r>
          <a:r>
            <a:rPr lang="en-US" sz="1000" b="0" i="0" u="none" strike="noStrike">
              <a:solidFill>
                <a:schemeClr val="dk1"/>
              </a:solidFill>
              <a:effectLst/>
              <a:latin typeface="+mn-lt"/>
              <a:ea typeface="+mn-ea"/>
              <a:cs typeface="+mn-cs"/>
            </a:rPr>
            <a:t>nfrastructure improvements located outside the project site(s) but required to bring necessary services to the project site(s) or to meet zoning and permitting requirements (i.e., traffic signals, sewer lift-stations, bus stops, etc.).</a:t>
          </a:r>
        </a:p>
        <a:p>
          <a:r>
            <a:rPr lang="en-US" sz="1000" b="0" i="1" u="none" strike="noStrike">
              <a:solidFill>
                <a:schemeClr val="dk1"/>
              </a:solidFill>
              <a:effectLst/>
              <a:latin typeface="+mn-lt"/>
              <a:ea typeface="+mn-ea"/>
              <a:cs typeface="+mn-cs"/>
            </a:rPr>
            <a:t>Note: These items are typically owned by an entity, such as a local government, other than the project developer.</a:t>
          </a:r>
          <a:endParaRPr lang="en-US" sz="1000"/>
        </a:p>
        <a:p>
          <a:endParaRPr lang="en-US" sz="1000" b="1" u="none"/>
        </a:p>
        <a:p>
          <a:r>
            <a:rPr lang="en-US" sz="1000" b="1" u="none"/>
            <a:t>- PART 3 - Rehabilitation/Construction -</a:t>
          </a:r>
        </a:p>
        <a:p>
          <a:pPr marL="0" marR="0" lvl="0" indent="0" defTabSz="914400" eaLnBrk="1" fontAlgn="auto" latinLnBrk="0" hangingPunct="1">
            <a:lnSpc>
              <a:spcPct val="100000"/>
            </a:lnSpc>
            <a:spcBef>
              <a:spcPts val="0"/>
            </a:spcBef>
            <a:spcAft>
              <a:spcPts val="0"/>
            </a:spcAft>
            <a:buClrTx/>
            <a:buSzTx/>
            <a:buFontTx/>
            <a:buNone/>
            <a:tabLst/>
            <a:defRPr/>
          </a:pPr>
          <a:r>
            <a:rPr lang="en-US" sz="1000" u="sng"/>
            <a:t>Line </a:t>
          </a:r>
          <a:r>
            <a:rPr lang="en-US" sz="1000" b="0" i="0" u="sng" strike="noStrike">
              <a:solidFill>
                <a:schemeClr val="dk1"/>
              </a:solidFill>
              <a:effectLst/>
              <a:latin typeface="+mn-lt"/>
              <a:ea typeface="+mn-ea"/>
              <a:cs typeface="+mn-cs"/>
            </a:rPr>
            <a:t>5</a:t>
          </a:r>
          <a:r>
            <a:rPr lang="en-US" sz="1000" b="0" i="0" u="none" strike="noStrike">
              <a:solidFill>
                <a:schemeClr val="dk1"/>
              </a:solidFill>
              <a:effectLst/>
              <a:latin typeface="+mn-lt"/>
              <a:ea typeface="+mn-ea"/>
              <a:cs typeface="+mn-cs"/>
            </a:rPr>
            <a:t>.</a:t>
          </a:r>
          <a:r>
            <a:rPr lang="en-US" sz="1000"/>
            <a:t> Expenses related to the construction of new buildings rather than the rehabilitation of existing buildings. This can also</a:t>
          </a:r>
          <a:r>
            <a:rPr lang="en-US" sz="1000" baseline="0"/>
            <a:t> include costs associated with general contractor profit, overhead, and general requirements.</a:t>
          </a:r>
          <a:br>
            <a:rPr lang="en-US" sz="1000" baseline="0"/>
          </a:br>
          <a:r>
            <a:rPr lang="en-US" sz="1000" b="0" i="0" u="sng">
              <a:solidFill>
                <a:schemeClr val="dk1"/>
              </a:solidFill>
              <a:effectLst/>
              <a:latin typeface="+mn-lt"/>
              <a:ea typeface="+mn-ea"/>
              <a:cs typeface="+mn-cs"/>
            </a:rPr>
            <a:t>Line 6</a:t>
          </a:r>
          <a:r>
            <a:rPr lang="en-US" sz="1000" b="0" i="0">
              <a:solidFill>
                <a:schemeClr val="dk1"/>
              </a:solidFill>
              <a:effectLst/>
              <a:latin typeface="+mn-lt"/>
              <a:ea typeface="+mn-ea"/>
              <a:cs typeface="+mn-cs"/>
            </a:rPr>
            <a:t>.</a:t>
          </a:r>
          <a:r>
            <a:rPr lang="en-US" sz="1000">
              <a:solidFill>
                <a:schemeClr val="dk1"/>
              </a:solidFill>
              <a:effectLst/>
              <a:latin typeface="+mn-lt"/>
              <a:ea typeface="+mn-ea"/>
              <a:cs typeface="+mn-cs"/>
            </a:rPr>
            <a:t> Expenses related to the rehabilitation of existing buildings as</a:t>
          </a:r>
          <a:r>
            <a:rPr lang="en-US" sz="1000" baseline="0">
              <a:solidFill>
                <a:schemeClr val="dk1"/>
              </a:solidFill>
              <a:effectLst/>
              <a:latin typeface="+mn-lt"/>
              <a:ea typeface="+mn-ea"/>
              <a:cs typeface="+mn-cs"/>
            </a:rPr>
            <a:t> opposed to new building construction.</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i="1" baseline="0">
              <a:solidFill>
                <a:schemeClr val="dk1"/>
              </a:solidFill>
              <a:effectLst/>
              <a:latin typeface="+mn-lt"/>
              <a:ea typeface="+mn-ea"/>
              <a:cs typeface="+mn-cs"/>
            </a:rPr>
            <a:t>Note: Any costs associated with new additions to existing buildings (e.g., lobbies, elevator shaft, etc.) should be classified as new construction.</a:t>
          </a:r>
          <a:endParaRPr lang="en-US" sz="1000">
            <a:effectLst/>
          </a:endParaRPr>
        </a:p>
        <a:p>
          <a:r>
            <a:rPr lang="en-US" sz="1000" u="sng" baseline="0"/>
            <a:t>Line 7</a:t>
          </a:r>
          <a:r>
            <a:rPr lang="en-US" sz="1000" baseline="0"/>
            <a:t>. Expenses related to performance or surety bonds for new construction or rehabilitation projects. Enter the bond premium percentage to calculate this expense.</a:t>
          </a:r>
          <a:endParaRPr lang="en-US" sz="1000"/>
        </a:p>
        <a:p>
          <a:r>
            <a:rPr lang="en-US" sz="1000" b="0" i="0" u="sng" strike="noStrike">
              <a:solidFill>
                <a:schemeClr val="dk1"/>
              </a:solidFill>
              <a:effectLst/>
              <a:latin typeface="+mn-lt"/>
              <a:ea typeface="+mn-ea"/>
              <a:cs typeface="+mn-cs"/>
            </a:rPr>
            <a:t>Line 8</a:t>
          </a:r>
          <a:r>
            <a:rPr lang="en-US" sz="1000" b="0" i="0" u="none" strike="noStrike">
              <a:solidFill>
                <a:schemeClr val="dk1"/>
              </a:solidFill>
              <a:effectLst/>
              <a:latin typeface="+mn-lt"/>
              <a:ea typeface="+mn-ea"/>
              <a:cs typeface="+mn-cs"/>
            </a:rPr>
            <a:t>. Budgeted allowance for new construction and/or rehabilitation costs in excess of the construction estimates for these items. Enter</a:t>
          </a:r>
          <a:r>
            <a:rPr lang="en-US" sz="1000" b="0" i="0" u="none" strike="noStrike" baseline="0">
              <a:solidFill>
                <a:schemeClr val="dk1"/>
              </a:solidFill>
              <a:effectLst/>
              <a:latin typeface="+mn-lt"/>
              <a:ea typeface="+mn-ea"/>
              <a:cs typeface="+mn-cs"/>
            </a:rPr>
            <a:t> the appropriate percentage, based on project type, to reflect the risk that change orders will be required and/or cost estimates may be exceeded:</a:t>
          </a:r>
        </a:p>
        <a:p>
          <a:pPr algn="ctr"/>
          <a:r>
            <a:rPr lang="en-US" sz="1000" b="1" i="0" u="none" strike="noStrike" baseline="0">
              <a:solidFill>
                <a:schemeClr val="dk1"/>
              </a:solidFill>
              <a:effectLst/>
              <a:latin typeface="+mn-lt"/>
              <a:ea typeface="+mn-ea"/>
              <a:cs typeface="+mn-cs"/>
            </a:rPr>
            <a:t>5% for New Construction  |  10% for Rehabilitation  |  15% for Historic Rehabilitation</a:t>
          </a:r>
          <a:endParaRPr lang="en-US" sz="1000" b="1" i="0" u="none" strike="noStrike">
            <a:solidFill>
              <a:schemeClr val="dk1"/>
            </a:solidFill>
            <a:effectLst/>
            <a:latin typeface="+mn-lt"/>
            <a:ea typeface="+mn-ea"/>
            <a:cs typeface="+mn-cs"/>
          </a:endParaRPr>
        </a:p>
        <a:p>
          <a:endParaRPr lang="en-US" sz="1000" b="1" i="0" u="none" strike="noStrike">
            <a:solidFill>
              <a:schemeClr val="dk1"/>
            </a:solidFill>
            <a:effectLst/>
            <a:latin typeface="+mn-lt"/>
            <a:ea typeface="+mn-ea"/>
            <a:cs typeface="+mn-cs"/>
          </a:endParaRPr>
        </a:p>
        <a:p>
          <a:r>
            <a:rPr lang="en-US" sz="1000" b="1" i="0" u="none" strike="noStrike">
              <a:solidFill>
                <a:schemeClr val="dk1"/>
              </a:solidFill>
              <a:effectLst/>
              <a:latin typeface="+mn-lt"/>
              <a:ea typeface="+mn-ea"/>
              <a:cs typeface="+mn-cs"/>
            </a:rPr>
            <a:t>- PART 4 - Other Depreciable Costs -</a:t>
          </a:r>
        </a:p>
        <a:p>
          <a:r>
            <a:rPr lang="en-US" sz="1000" b="0" i="0" u="sng" strike="noStrike">
              <a:solidFill>
                <a:schemeClr val="dk1"/>
              </a:solidFill>
              <a:effectLst/>
              <a:latin typeface="+mn-lt"/>
              <a:ea typeface="+mn-ea"/>
              <a:cs typeface="+mn-cs"/>
            </a:rPr>
            <a:t>Line 9</a:t>
          </a:r>
          <a:r>
            <a:rPr lang="en-US" sz="1000" b="0" i="0" u="none" strike="noStrike">
              <a:solidFill>
                <a:schemeClr val="dk1"/>
              </a:solidFill>
              <a:effectLst/>
              <a:latin typeface="+mn-lt"/>
              <a:ea typeface="+mn-ea"/>
              <a:cs typeface="+mn-cs"/>
            </a:rPr>
            <a:t>. Expenses related to movable</a:t>
          </a:r>
          <a:r>
            <a:rPr lang="en-US" sz="1000" b="0" i="0" u="none" strike="noStrike" baseline="0">
              <a:solidFill>
                <a:schemeClr val="dk1"/>
              </a:solidFill>
              <a:effectLst/>
              <a:latin typeface="+mn-lt"/>
              <a:ea typeface="+mn-ea"/>
              <a:cs typeface="+mn-cs"/>
            </a:rPr>
            <a:t> furniture, fixtures, or other equipment that have no permanent connection to the structure of a building or utilities (e.g., office furniture, kitchen appliances, etc.).</a:t>
          </a:r>
          <a:endParaRPr lang="en-US" sz="1000" b="0" i="0" u="none" strike="noStrike">
            <a:solidFill>
              <a:schemeClr val="dk1"/>
            </a:solidFill>
            <a:effectLst/>
            <a:latin typeface="+mn-lt"/>
            <a:ea typeface="+mn-ea"/>
            <a:cs typeface="+mn-cs"/>
          </a:endParaRPr>
        </a:p>
        <a:p>
          <a:endParaRPr lang="en-US" sz="1000" b="1" i="0" u="none" strike="noStrike">
            <a:solidFill>
              <a:schemeClr val="dk1"/>
            </a:solidFill>
            <a:effectLst/>
            <a:latin typeface="+mn-lt"/>
            <a:ea typeface="+mn-ea"/>
            <a:cs typeface="+mn-cs"/>
          </a:endParaRPr>
        </a:p>
        <a:p>
          <a:r>
            <a:rPr lang="en-US" sz="1000" b="1" i="0" u="none" strike="noStrike">
              <a:solidFill>
                <a:schemeClr val="dk1"/>
              </a:solidFill>
              <a:effectLst/>
              <a:latin typeface="+mn-lt"/>
              <a:ea typeface="+mn-ea"/>
              <a:cs typeface="+mn-cs"/>
            </a:rPr>
            <a:t>- PART 5 - Professional Fees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10</a:t>
          </a:r>
          <a:r>
            <a:rPr lang="en-US" sz="1000" b="0" i="0">
              <a:solidFill>
                <a:schemeClr val="dk1"/>
              </a:solidFill>
              <a:effectLst/>
              <a:latin typeface="+mn-lt"/>
              <a:ea typeface="+mn-ea"/>
              <a:cs typeface="+mn-cs"/>
            </a:rPr>
            <a:t>. Local</a:t>
          </a:r>
          <a:r>
            <a:rPr lang="en-US" sz="1000" b="0" i="0" baseline="0">
              <a:solidFill>
                <a:schemeClr val="dk1"/>
              </a:solidFill>
              <a:effectLst/>
              <a:latin typeface="+mn-lt"/>
              <a:ea typeface="+mn-ea"/>
              <a:cs typeface="+mn-cs"/>
            </a:rPr>
            <a:t> government charges for building and infrastructure permits for the project site(s).</a:t>
          </a:r>
          <a:endParaRPr lang="en-US" sz="1000">
            <a:effectLst/>
          </a:endParaRPr>
        </a:p>
        <a:p>
          <a:r>
            <a:rPr lang="en-US" sz="1000" b="0" i="0" u="sng" strike="noStrike">
              <a:solidFill>
                <a:schemeClr val="dk1"/>
              </a:solidFill>
              <a:effectLst/>
              <a:latin typeface="+mn-lt"/>
              <a:ea typeface="+mn-ea"/>
              <a:cs typeface="+mn-cs"/>
            </a:rPr>
            <a:t>Line</a:t>
          </a:r>
          <a:r>
            <a:rPr lang="en-US" sz="1000" u="sng"/>
            <a:t> </a:t>
          </a:r>
          <a:r>
            <a:rPr lang="en-US" sz="1000" b="0" i="0" u="sng" strike="noStrike">
              <a:solidFill>
                <a:schemeClr val="dk1"/>
              </a:solidFill>
              <a:effectLst/>
              <a:latin typeface="+mn-lt"/>
              <a:ea typeface="+mn-ea"/>
              <a:cs typeface="+mn-cs"/>
            </a:rPr>
            <a:t>11</a:t>
          </a:r>
          <a:r>
            <a:rPr lang="en-US" sz="1000" b="0" i="0" u="none" strike="noStrike">
              <a:solidFill>
                <a:schemeClr val="dk1"/>
              </a:solidFill>
              <a:effectLst/>
              <a:latin typeface="+mn-lt"/>
              <a:ea typeface="+mn-ea"/>
              <a:cs typeface="+mn-cs"/>
            </a:rPr>
            <a:t>. Expenses related to project design services (e.g., conceptual, schematic, construction drawings,</a:t>
          </a:r>
          <a:r>
            <a:rPr lang="en-US" sz="1000" b="0" i="0" u="none" strike="noStrike" baseline="0">
              <a:solidFill>
                <a:schemeClr val="dk1"/>
              </a:solidFill>
              <a:effectLst/>
              <a:latin typeface="+mn-lt"/>
              <a:ea typeface="+mn-ea"/>
              <a:cs typeface="+mn-cs"/>
            </a:rPr>
            <a:t> etc.) and construction administration.</a:t>
          </a:r>
          <a:endParaRPr lang="en-US" sz="1000" b="0" i="0" u="none" strike="noStrike">
            <a:solidFill>
              <a:schemeClr val="dk1"/>
            </a:solidFill>
            <a:effectLst/>
            <a:latin typeface="+mn-lt"/>
            <a:ea typeface="+mn-ea"/>
            <a:cs typeface="+mn-cs"/>
          </a:endParaRPr>
        </a:p>
        <a:p>
          <a:r>
            <a:rPr lang="en-US" sz="1000" b="0" i="0" u="sng" strike="noStrike">
              <a:solidFill>
                <a:schemeClr val="dk1"/>
              </a:solidFill>
              <a:effectLst/>
              <a:latin typeface="+mn-lt"/>
              <a:ea typeface="+mn-ea"/>
              <a:cs typeface="+mn-cs"/>
            </a:rPr>
            <a:t>Line 12</a:t>
          </a:r>
          <a:r>
            <a:rPr lang="en-US" sz="1000" b="0" i="0" u="none" strike="noStrike">
              <a:solidFill>
                <a:schemeClr val="dk1"/>
              </a:solidFill>
              <a:effectLst/>
              <a:latin typeface="+mn-lt"/>
              <a:ea typeface="+mn-ea"/>
              <a:cs typeface="+mn-cs"/>
            </a:rPr>
            <a:t>. D</a:t>
          </a:r>
          <a:r>
            <a:rPr lang="en-US" sz="1000" b="0" i="0" baseline="0">
              <a:solidFill>
                <a:schemeClr val="dk1"/>
              </a:solidFill>
              <a:effectLst/>
              <a:latin typeface="+mn-lt"/>
              <a:ea typeface="+mn-ea"/>
              <a:cs typeface="+mn-cs"/>
            </a:rPr>
            <a:t>evelopment impact fees to help fund services (i.e., fire, police, schools, etc.) that serve the project site(s).</a:t>
          </a:r>
          <a:endParaRPr lang="en-US" sz="1000" b="0" i="0" u="none" strike="noStrike">
            <a:solidFill>
              <a:schemeClr val="dk1"/>
            </a:solidFill>
            <a:effectLst/>
            <a:latin typeface="+mn-lt"/>
            <a:ea typeface="+mn-ea"/>
            <a:cs typeface="+mn-cs"/>
          </a:endParaRPr>
        </a:p>
        <a:p>
          <a:r>
            <a:rPr lang="en-US" sz="1000" b="0" i="0" u="sng" strike="noStrike">
              <a:solidFill>
                <a:schemeClr val="dk1"/>
              </a:solidFill>
              <a:effectLst/>
              <a:latin typeface="+mn-lt"/>
              <a:ea typeface="+mn-ea"/>
              <a:cs typeface="+mn-cs"/>
            </a:rPr>
            <a:t>Line</a:t>
          </a:r>
          <a:r>
            <a:rPr lang="en-US" sz="1000" u="sng"/>
            <a:t> </a:t>
          </a:r>
          <a:r>
            <a:rPr lang="en-US" sz="1000" b="0" i="0" u="sng" strike="noStrike">
              <a:solidFill>
                <a:schemeClr val="dk1"/>
              </a:solidFill>
              <a:effectLst/>
              <a:latin typeface="+mn-lt"/>
              <a:ea typeface="+mn-ea"/>
              <a:cs typeface="+mn-cs"/>
            </a:rPr>
            <a:t>13</a:t>
          </a:r>
          <a:r>
            <a:rPr lang="en-US" sz="1000" b="0" i="0" u="none" strike="noStrike">
              <a:solidFill>
                <a:schemeClr val="dk1"/>
              </a:solidFill>
              <a:effectLst/>
              <a:latin typeface="+mn-lt"/>
              <a:ea typeface="+mn-ea"/>
              <a:cs typeface="+mn-cs"/>
            </a:rPr>
            <a:t>. </a:t>
          </a:r>
          <a:r>
            <a:rPr lang="en-US" sz="1000" b="0" i="0">
              <a:solidFill>
                <a:schemeClr val="dk1"/>
              </a:solidFill>
              <a:effectLst/>
              <a:latin typeface="+mn-lt"/>
              <a:ea typeface="+mn-ea"/>
              <a:cs typeface="+mn-cs"/>
            </a:rPr>
            <a:t>Expenses for necessary project engineering services (e.g., structural, mechanical,</a:t>
          </a:r>
          <a:r>
            <a:rPr lang="en-US" sz="1000" b="0" i="0" baseline="0">
              <a:solidFill>
                <a:schemeClr val="dk1"/>
              </a:solidFill>
              <a:effectLst/>
              <a:latin typeface="+mn-lt"/>
              <a:ea typeface="+mn-ea"/>
              <a:cs typeface="+mn-cs"/>
            </a:rPr>
            <a:t> geotechnical, etc.).</a:t>
          </a:r>
          <a:endParaRPr lang="en-US" sz="1000" b="0" i="0" u="none" strike="noStrike">
            <a:solidFill>
              <a:schemeClr val="dk1"/>
            </a:solidFill>
            <a:effectLst/>
            <a:latin typeface="+mn-lt"/>
            <a:ea typeface="+mn-ea"/>
            <a:cs typeface="+mn-cs"/>
          </a:endParaRPr>
        </a:p>
        <a:p>
          <a:r>
            <a:rPr lang="en-US" sz="1000" b="0" i="0" u="sng">
              <a:solidFill>
                <a:schemeClr val="dk1"/>
              </a:solidFill>
              <a:effectLst/>
              <a:latin typeface="+mn-lt"/>
              <a:ea typeface="+mn-ea"/>
              <a:cs typeface="+mn-cs"/>
            </a:rPr>
            <a:t>Line 14</a:t>
          </a:r>
          <a:r>
            <a:rPr lang="en-US" sz="1000" b="0" i="0">
              <a:solidFill>
                <a:schemeClr val="dk1"/>
              </a:solidFill>
              <a:effectLst/>
              <a:latin typeface="+mn-lt"/>
              <a:ea typeface="+mn-ea"/>
              <a:cs typeface="+mn-cs"/>
            </a:rPr>
            <a:t>. Expenses associated with securing necessary environmental</a:t>
          </a:r>
          <a:r>
            <a:rPr lang="en-US" sz="1000" b="0" i="0" baseline="0">
              <a:solidFill>
                <a:schemeClr val="dk1"/>
              </a:solidFill>
              <a:effectLst/>
              <a:latin typeface="+mn-lt"/>
              <a:ea typeface="+mn-ea"/>
              <a:cs typeface="+mn-cs"/>
            </a:rPr>
            <a:t> assessments by a third-party contractor for the project site(s).</a:t>
          </a:r>
          <a:endParaRPr lang="en-US" sz="1000">
            <a:effectLst/>
          </a:endParaRPr>
        </a:p>
        <a:p>
          <a:r>
            <a:rPr lang="en-US" sz="1000" b="0" i="1" baseline="0">
              <a:solidFill>
                <a:schemeClr val="dk1"/>
              </a:solidFill>
              <a:effectLst/>
              <a:latin typeface="+mn-lt"/>
              <a:ea typeface="+mn-ea"/>
              <a:cs typeface="+mn-cs"/>
            </a:rPr>
            <a:t>Note: Environmental remediation work required by the assessments is typically included as a construction or rehabilitation expense.</a:t>
          </a:r>
          <a:endParaRPr lang="en-US" sz="1000">
            <a:effectLst/>
          </a:endParaRPr>
        </a:p>
        <a:p>
          <a:r>
            <a:rPr lang="en-US" sz="1000" b="0" i="0" u="sng" strike="noStrike">
              <a:solidFill>
                <a:schemeClr val="dk1"/>
              </a:solidFill>
              <a:effectLst/>
              <a:latin typeface="+mn-lt"/>
              <a:ea typeface="+mn-ea"/>
              <a:cs typeface="+mn-cs"/>
            </a:rPr>
            <a:t>Line 15</a:t>
          </a:r>
          <a:r>
            <a:rPr lang="en-US" sz="1000" b="0" i="0" u="none" strike="noStrike">
              <a:solidFill>
                <a:schemeClr val="dk1"/>
              </a:solidFill>
              <a:effectLst/>
              <a:latin typeface="+mn-lt"/>
              <a:ea typeface="+mn-ea"/>
              <a:cs typeface="+mn-cs"/>
            </a:rPr>
            <a:t>. Expenses for necessary legal work associated with acquisition.</a:t>
          </a:r>
        </a:p>
        <a:p>
          <a:r>
            <a:rPr lang="en-US" sz="1000" b="0" i="1" u="none" strike="noStrike">
              <a:solidFill>
                <a:schemeClr val="dk1"/>
              </a:solidFill>
              <a:effectLst/>
              <a:latin typeface="+mn-lt"/>
              <a:ea typeface="+mn-ea"/>
              <a:cs typeface="+mn-cs"/>
            </a:rPr>
            <a:t>Note:</a:t>
          </a:r>
          <a:r>
            <a:rPr lang="en-US" sz="1000" b="0" i="1" u="none" strike="noStrike" baseline="0">
              <a:solidFill>
                <a:schemeClr val="dk1"/>
              </a:solidFill>
              <a:effectLst/>
              <a:latin typeface="+mn-lt"/>
              <a:ea typeface="+mn-ea"/>
              <a:cs typeface="+mn-cs"/>
            </a:rPr>
            <a:t> Do not include legal fees related to creating the ownership entity, syndication, and financing, both permanent and construction, which should be entered on a separate line item on this worksheet.</a:t>
          </a:r>
        </a:p>
        <a:p>
          <a:r>
            <a:rPr lang="en-US" sz="1000" b="0" i="0" u="sng" strike="noStrike" baseline="0">
              <a:solidFill>
                <a:schemeClr val="dk1"/>
              </a:solidFill>
              <a:effectLst/>
              <a:latin typeface="+mn-lt"/>
              <a:ea typeface="+mn-ea"/>
              <a:cs typeface="+mn-cs"/>
            </a:rPr>
            <a:t>Line 16</a:t>
          </a:r>
          <a:r>
            <a:rPr lang="en-US" sz="1000" b="0" i="0" u="none" strike="noStrike" baseline="0">
              <a:solidFill>
                <a:schemeClr val="dk1"/>
              </a:solidFill>
              <a:effectLst/>
              <a:latin typeface="+mn-lt"/>
              <a:ea typeface="+mn-ea"/>
              <a:cs typeface="+mn-cs"/>
            </a:rPr>
            <a:t>. Expenses for title search and insurance for the project site(s).</a:t>
          </a:r>
          <a:endParaRPr lang="en-US" sz="1000" b="0" i="0" u="sng" strike="noStrike">
            <a:solidFill>
              <a:schemeClr val="dk1"/>
            </a:solidFill>
            <a:effectLst/>
            <a:latin typeface="+mn-lt"/>
            <a:ea typeface="+mn-ea"/>
            <a:cs typeface="+mn-cs"/>
          </a:endParaRPr>
        </a:p>
        <a:p>
          <a:r>
            <a:rPr lang="en-US" sz="1000" b="0" i="0" u="sng">
              <a:solidFill>
                <a:schemeClr val="dk1"/>
              </a:solidFill>
              <a:effectLst/>
              <a:latin typeface="+mn-lt"/>
              <a:ea typeface="+mn-ea"/>
              <a:cs typeface="+mn-cs"/>
            </a:rPr>
            <a:t>Line 17</a:t>
          </a:r>
          <a:r>
            <a:rPr lang="en-US" sz="1000" b="0" i="0" u="none">
              <a:solidFill>
                <a:schemeClr val="dk1"/>
              </a:solidFill>
              <a:effectLst/>
              <a:latin typeface="+mn-lt"/>
              <a:ea typeface="+mn-ea"/>
              <a:cs typeface="+mn-cs"/>
            </a:rPr>
            <a:t>. Expense for site survey, as</a:t>
          </a:r>
          <a:r>
            <a:rPr lang="en-US" sz="1000" b="0" i="0" u="none" baseline="0">
              <a:solidFill>
                <a:schemeClr val="dk1"/>
              </a:solidFill>
              <a:effectLst/>
              <a:latin typeface="+mn-lt"/>
              <a:ea typeface="+mn-ea"/>
              <a:cs typeface="+mn-cs"/>
            </a:rPr>
            <a:t> required by a lender.</a:t>
          </a:r>
          <a:endParaRPr lang="en-US" sz="1000" b="0" i="0" u="sng">
            <a:solidFill>
              <a:schemeClr val="dk1"/>
            </a:solidFill>
            <a:effectLst/>
            <a:latin typeface="+mn-lt"/>
            <a:ea typeface="+mn-ea"/>
            <a:cs typeface="+mn-cs"/>
          </a:endParaRPr>
        </a:p>
        <a:p>
          <a:r>
            <a:rPr lang="en-US" sz="1000" b="0" i="0" u="sng">
              <a:solidFill>
                <a:schemeClr val="dk1"/>
              </a:solidFill>
              <a:effectLst/>
              <a:latin typeface="+mn-lt"/>
              <a:ea typeface="+mn-ea"/>
              <a:cs typeface="+mn-cs"/>
            </a:rPr>
            <a:t>Line 18</a:t>
          </a:r>
          <a:r>
            <a:rPr lang="en-US" sz="1000" b="0" i="0">
              <a:solidFill>
                <a:schemeClr val="dk1"/>
              </a:solidFill>
              <a:effectLst/>
              <a:latin typeface="+mn-lt"/>
              <a:ea typeface="+mn-ea"/>
              <a:cs typeface="+mn-cs"/>
            </a:rPr>
            <a:t>.</a:t>
          </a:r>
          <a:r>
            <a:rPr lang="en-US" sz="1000"/>
            <a:t> Expenses</a:t>
          </a:r>
          <a:r>
            <a:rPr lang="en-US" sz="1000" baseline="0"/>
            <a:t> for accounting and cost verification for completed work.</a:t>
          </a:r>
          <a:endParaRPr lang="en-US" sz="1000"/>
        </a:p>
        <a:p>
          <a:r>
            <a:rPr lang="en-US" sz="1000" b="0" i="0" u="sng">
              <a:solidFill>
                <a:schemeClr val="dk1"/>
              </a:solidFill>
              <a:effectLst/>
              <a:latin typeface="+mn-lt"/>
              <a:ea typeface="+mn-ea"/>
              <a:cs typeface="+mn-cs"/>
            </a:rPr>
            <a:t>Line 19</a:t>
          </a:r>
          <a:r>
            <a:rPr lang="en-US" sz="1000" b="0" i="0">
              <a:solidFill>
                <a:schemeClr val="dk1"/>
              </a:solidFill>
              <a:effectLst/>
              <a:latin typeface="+mn-lt"/>
              <a:ea typeface="+mn-ea"/>
              <a:cs typeface="+mn-cs"/>
            </a:rPr>
            <a:t>. Expenses</a:t>
          </a:r>
          <a:r>
            <a:rPr lang="en-US" sz="1000" b="0" i="0" baseline="0">
              <a:solidFill>
                <a:schemeClr val="dk1"/>
              </a:solidFill>
              <a:effectLst/>
              <a:latin typeface="+mn-lt"/>
              <a:ea typeface="+mn-ea"/>
              <a:cs typeface="+mn-cs"/>
            </a:rPr>
            <a:t> associated with securing appraisals and/or market studies.</a:t>
          </a:r>
          <a:endParaRPr lang="en-US" sz="10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1"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chemeClr val="dk1"/>
              </a:solidFill>
              <a:effectLst/>
              <a:latin typeface="+mn-lt"/>
              <a:ea typeface="+mn-ea"/>
              <a:cs typeface="+mn-cs"/>
            </a:rPr>
            <a:t>- PART 6 - Interim Costs -</a:t>
          </a:r>
          <a:endParaRPr lang="en-US" sz="1000" b="1">
            <a:effectLst/>
          </a:endParaRPr>
        </a:p>
        <a:p>
          <a:pPr eaLnBrk="1" fontAlgn="auto" latinLnBrk="0" hangingPunct="1"/>
          <a:r>
            <a:rPr lang="en-US" sz="1000" b="0" i="0" u="sng">
              <a:solidFill>
                <a:schemeClr val="dk1"/>
              </a:solidFill>
              <a:effectLst/>
              <a:latin typeface="+mn-lt"/>
              <a:ea typeface="+mn-ea"/>
              <a:cs typeface="+mn-cs"/>
            </a:rPr>
            <a:t>Line 20</a:t>
          </a:r>
          <a:r>
            <a:rPr lang="en-US" sz="1000" b="0" i="0">
              <a:solidFill>
                <a:schemeClr val="dk1"/>
              </a:solidFill>
              <a:effectLst/>
              <a:latin typeface="+mn-lt"/>
              <a:ea typeface="+mn-ea"/>
              <a:cs typeface="+mn-cs"/>
            </a:rPr>
            <a:t>. Expenses for property/casualty insurance obtained by the developer</a:t>
          </a:r>
          <a:r>
            <a:rPr lang="en-US" sz="1000" b="0" i="0" baseline="0">
              <a:solidFill>
                <a:schemeClr val="dk1"/>
              </a:solidFill>
              <a:effectLst/>
              <a:latin typeface="+mn-lt"/>
              <a:ea typeface="+mn-ea"/>
              <a:cs typeface="+mn-cs"/>
            </a:rPr>
            <a:t> prior to construction, </a:t>
          </a:r>
          <a:r>
            <a:rPr lang="en-US" sz="1000" b="0" i="0">
              <a:solidFill>
                <a:schemeClr val="dk1"/>
              </a:solidFill>
              <a:effectLst/>
              <a:latin typeface="+mn-lt"/>
              <a:ea typeface="+mn-ea"/>
              <a:cs typeface="+mn-cs"/>
            </a:rPr>
            <a:t>builder's risk insurance during the construction period,</a:t>
          </a:r>
          <a:r>
            <a:rPr lang="en-US" sz="1000" b="0" i="0" baseline="0">
              <a:solidFill>
                <a:schemeClr val="dk1"/>
              </a:solidFill>
              <a:effectLst/>
              <a:latin typeface="+mn-lt"/>
              <a:ea typeface="+mn-ea"/>
              <a:cs typeface="+mn-cs"/>
            </a:rPr>
            <a:t> and/or commercial general liability insurance for the property, etc.</a:t>
          </a:r>
          <a:endParaRPr lang="en-US" sz="1000">
            <a:effectLst/>
          </a:endParaRPr>
        </a:p>
        <a:p>
          <a:r>
            <a:rPr lang="en-US" sz="1000" b="0" i="0" u="sng">
              <a:solidFill>
                <a:schemeClr val="dk1"/>
              </a:solidFill>
              <a:effectLst/>
              <a:latin typeface="+mn-lt"/>
              <a:ea typeface="+mn-ea"/>
              <a:cs typeface="+mn-cs"/>
            </a:rPr>
            <a:t>Line 21</a:t>
          </a:r>
          <a:r>
            <a:rPr lang="en-US" sz="1000" b="0" i="0">
              <a:solidFill>
                <a:schemeClr val="dk1"/>
              </a:solidFill>
              <a:effectLst/>
              <a:latin typeface="+mn-lt"/>
              <a:ea typeface="+mn-ea"/>
              <a:cs typeface="+mn-cs"/>
            </a:rPr>
            <a:t>. Expenses for property taxes incurred during the predevelopment</a:t>
          </a:r>
          <a:r>
            <a:rPr lang="en-US" sz="1000" b="0" i="0" baseline="0">
              <a:solidFill>
                <a:schemeClr val="dk1"/>
              </a:solidFill>
              <a:effectLst/>
              <a:latin typeface="+mn-lt"/>
              <a:ea typeface="+mn-ea"/>
              <a:cs typeface="+mn-cs"/>
            </a:rPr>
            <a:t> and construction, or pre-occupancy, phrases of the development process.</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22</a:t>
          </a:r>
          <a:r>
            <a:rPr lang="en-US" sz="1000" b="0" i="0">
              <a:solidFill>
                <a:schemeClr val="dk1"/>
              </a:solidFill>
              <a:effectLst/>
              <a:latin typeface="+mn-lt"/>
              <a:ea typeface="+mn-ea"/>
              <a:cs typeface="+mn-cs"/>
            </a:rPr>
            <a:t>. If the project includes Tax</a:t>
          </a:r>
          <a:r>
            <a:rPr lang="en-US" sz="1000" b="0" i="0" baseline="0">
              <a:solidFill>
                <a:schemeClr val="dk1"/>
              </a:solidFill>
              <a:effectLst/>
              <a:latin typeface="+mn-lt"/>
              <a:ea typeface="+mn-ea"/>
              <a:cs typeface="+mn-cs"/>
            </a:rPr>
            <a:t> Increment Financing (TIF) estimated to be over $100,000, a $5,000 administrative fee is owed to the local government issuing the TIF proceeds.</a:t>
          </a:r>
          <a:endParaRPr lang="en-US" sz="1000">
            <a:effectLst/>
          </a:endParaRPr>
        </a:p>
        <a:p>
          <a:r>
            <a:rPr lang="en-US" sz="1000" b="0" i="0" u="sng" baseline="0">
              <a:solidFill>
                <a:schemeClr val="dk1"/>
              </a:solidFill>
              <a:effectLst/>
              <a:latin typeface="+mn-lt"/>
              <a:ea typeface="+mn-ea"/>
              <a:cs typeface="+mn-cs"/>
            </a:rPr>
            <a:t>Line 23</a:t>
          </a:r>
          <a:r>
            <a:rPr lang="en-US" sz="1000" b="0" i="0" u="none" baseline="0">
              <a:solidFill>
                <a:schemeClr val="dk1"/>
              </a:solidFill>
              <a:effectLst/>
              <a:latin typeface="+mn-lt"/>
              <a:ea typeface="+mn-ea"/>
              <a:cs typeface="+mn-cs"/>
            </a:rPr>
            <a:t>. Costs associated with the use of utilities on the project site(s) during the construction period.</a:t>
          </a:r>
          <a:endParaRPr lang="en-US" sz="1000" b="0" i="0" u="sng" baseline="0">
            <a:solidFill>
              <a:schemeClr val="dk1"/>
            </a:solidFill>
            <a:effectLst/>
            <a:latin typeface="+mn-lt"/>
            <a:ea typeface="+mn-ea"/>
            <a:cs typeface="+mn-cs"/>
          </a:endParaRPr>
        </a:p>
        <a:p>
          <a:r>
            <a:rPr lang="en-US" sz="1000" b="0" i="0" u="sng" baseline="0">
              <a:solidFill>
                <a:schemeClr val="dk1"/>
              </a:solidFill>
              <a:effectLst/>
              <a:latin typeface="+mn-lt"/>
              <a:ea typeface="+mn-ea"/>
              <a:cs typeface="+mn-cs"/>
            </a:rPr>
            <a:t>Line 24</a:t>
          </a:r>
          <a:r>
            <a:rPr lang="en-US" sz="1000" b="0" i="0" u="none" baseline="0">
              <a:solidFill>
                <a:schemeClr val="dk1"/>
              </a:solidFill>
              <a:effectLst/>
              <a:latin typeface="+mn-lt"/>
              <a:ea typeface="+mn-ea"/>
              <a:cs typeface="+mn-cs"/>
            </a:rPr>
            <a:t>. Costs to secure project site(s) during the construction period.</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baseline="0">
              <a:solidFill>
                <a:schemeClr val="dk1"/>
              </a:solidFill>
              <a:effectLst/>
              <a:latin typeface="+mn-lt"/>
              <a:ea typeface="+mn-ea"/>
              <a:cs typeface="+mn-cs"/>
            </a:rPr>
            <a:t>Line 25</a:t>
          </a:r>
          <a:r>
            <a:rPr lang="en-US" sz="1000" b="0" i="0" baseline="0">
              <a:solidFill>
                <a:schemeClr val="dk1"/>
              </a:solidFill>
              <a:effectLst/>
              <a:latin typeface="+mn-lt"/>
              <a:ea typeface="+mn-ea"/>
              <a:cs typeface="+mn-cs"/>
            </a:rPr>
            <a:t>. Expenses for maintenance of the grounds of the project site(s) during the construction period.</a:t>
          </a:r>
          <a:endParaRPr lang="en-US" sz="1000">
            <a:effectLst/>
          </a:endParaRPr>
        </a:p>
        <a:p>
          <a:r>
            <a:rPr lang="en-US" sz="1000" b="0" i="0" u="sng">
              <a:solidFill>
                <a:schemeClr val="dk1"/>
              </a:solidFill>
              <a:effectLst/>
              <a:latin typeface="+mn-lt"/>
              <a:ea typeface="+mn-ea"/>
              <a:cs typeface="+mn-cs"/>
            </a:rPr>
            <a:t>Line 26</a:t>
          </a:r>
          <a:r>
            <a:rPr lang="en-US" sz="1000" b="0" i="0">
              <a:solidFill>
                <a:schemeClr val="dk1"/>
              </a:solidFill>
              <a:effectLst/>
              <a:latin typeface="+mn-lt"/>
              <a:ea typeface="+mn-ea"/>
              <a:cs typeface="+mn-cs"/>
            </a:rPr>
            <a:t>. Any interest expense for construction financing during the construction period.</a:t>
          </a:r>
        </a:p>
        <a:p>
          <a:pPr marL="0" marR="0" lvl="0" indent="0" defTabSz="914400" eaLnBrk="1" fontAlgn="auto" latinLnBrk="0" hangingPunct="1">
            <a:lnSpc>
              <a:spcPct val="100000"/>
            </a:lnSpc>
            <a:spcBef>
              <a:spcPts val="0"/>
            </a:spcBef>
            <a:spcAft>
              <a:spcPts val="0"/>
            </a:spcAft>
            <a:buClrTx/>
            <a:buSzTx/>
            <a:buFontTx/>
            <a:buNone/>
            <a:tabLst/>
            <a:defRPr/>
          </a:pPr>
          <a:r>
            <a:rPr lang="en-US" sz="1000" b="0" i="1">
              <a:solidFill>
                <a:schemeClr val="dk1"/>
              </a:solidFill>
              <a:effectLst/>
              <a:latin typeface="+mn-lt"/>
              <a:ea typeface="+mn-ea"/>
              <a:cs typeface="+mn-cs"/>
            </a:rPr>
            <a:t>Note:</a:t>
          </a:r>
          <a:r>
            <a:rPr lang="en-US" sz="1000" b="0" i="1" baseline="0">
              <a:solidFill>
                <a:schemeClr val="dk1"/>
              </a:solidFill>
              <a:effectLst/>
              <a:latin typeface="+mn-lt"/>
              <a:ea typeface="+mn-ea"/>
              <a:cs typeface="+mn-cs"/>
            </a:rPr>
            <a:t> Construction interest is only paid on the amount of the loan principal outstanding for each month during the construction period. Before the construction timeline is firmly developed, the construction interest can be estimated conservatively.</a:t>
          </a:r>
          <a:endParaRPr lang="en-US" sz="1000" i="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27</a:t>
          </a:r>
          <a:r>
            <a:rPr lang="en-US" sz="1000" b="0" i="0">
              <a:solidFill>
                <a:schemeClr val="dk1"/>
              </a:solidFill>
              <a:effectLst/>
              <a:latin typeface="+mn-lt"/>
              <a:ea typeface="+mn-ea"/>
              <a:cs typeface="+mn-cs"/>
            </a:rPr>
            <a:t>. Lender's</a:t>
          </a:r>
          <a:r>
            <a:rPr lang="en-US" sz="1000" b="0" i="0" baseline="0">
              <a:solidFill>
                <a:schemeClr val="dk1"/>
              </a:solidFill>
              <a:effectLst/>
              <a:latin typeface="+mn-lt"/>
              <a:ea typeface="+mn-ea"/>
              <a:cs typeface="+mn-cs"/>
            </a:rPr>
            <a:t> fee for offering and processing the construction financing.</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baseline="0">
              <a:solidFill>
                <a:schemeClr val="dk1"/>
              </a:solidFill>
              <a:effectLst/>
              <a:latin typeface="+mn-lt"/>
              <a:ea typeface="+mn-ea"/>
              <a:cs typeface="+mn-cs"/>
            </a:rPr>
            <a:t>Line 28</a:t>
          </a:r>
          <a:r>
            <a:rPr lang="en-US" sz="1000" b="0" i="0" baseline="0">
              <a:solidFill>
                <a:schemeClr val="dk1"/>
              </a:solidFill>
              <a:effectLst/>
              <a:latin typeface="+mn-lt"/>
              <a:ea typeface="+mn-ea"/>
              <a:cs typeface="+mn-cs"/>
            </a:rPr>
            <a:t>. Any interest expense related to financing necessary  to create a capitalized operating cost assistance reserves (COCAR) account.</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baseline="0">
              <a:solidFill>
                <a:schemeClr val="dk1"/>
              </a:solidFill>
              <a:effectLst/>
              <a:latin typeface="+mn-lt"/>
              <a:ea typeface="+mn-ea"/>
              <a:cs typeface="+mn-cs"/>
            </a:rPr>
            <a:t>Line 29</a:t>
          </a:r>
          <a:r>
            <a:rPr lang="en-US" sz="1000" b="0" i="0" baseline="0">
              <a:solidFill>
                <a:schemeClr val="dk1"/>
              </a:solidFill>
              <a:effectLst/>
              <a:latin typeface="+mn-lt"/>
              <a:ea typeface="+mn-ea"/>
              <a:cs typeface="+mn-cs"/>
            </a:rPr>
            <a:t>. Lender's fee for offering and processing the financing necessary to create a capitalized operative cost assistance reserves (COCAR) account.</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chemeClr val="dk1"/>
              </a:solidFill>
              <a:effectLst/>
              <a:latin typeface="+mn-lt"/>
              <a:ea typeface="+mn-ea"/>
              <a:cs typeface="+mn-cs"/>
            </a:rPr>
            <a:t>- PART 7 - Permanent Financing Expenses-</a:t>
          </a:r>
          <a:endParaRPr lang="en-US" sz="1000"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30</a:t>
          </a:r>
          <a:r>
            <a:rPr lang="en-US" sz="1000" b="0" i="0">
              <a:solidFill>
                <a:schemeClr val="dk1"/>
              </a:solidFill>
              <a:effectLst/>
              <a:latin typeface="+mn-lt"/>
              <a:ea typeface="+mn-ea"/>
              <a:cs typeface="+mn-cs"/>
            </a:rPr>
            <a:t>. Lender's</a:t>
          </a:r>
          <a:r>
            <a:rPr lang="en-US" sz="1000" b="0" i="0" baseline="0">
              <a:solidFill>
                <a:schemeClr val="dk1"/>
              </a:solidFill>
              <a:effectLst/>
              <a:latin typeface="+mn-lt"/>
              <a:ea typeface="+mn-ea"/>
              <a:cs typeface="+mn-cs"/>
            </a:rPr>
            <a:t> fee for offering and processing permanent financing for the project.</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31</a:t>
          </a:r>
          <a:r>
            <a:rPr lang="en-US" sz="1000" b="0" i="0">
              <a:solidFill>
                <a:schemeClr val="dk1"/>
              </a:solidFill>
              <a:effectLst/>
              <a:latin typeface="+mn-lt"/>
              <a:ea typeface="+mn-ea"/>
              <a:cs typeface="+mn-cs"/>
            </a:rPr>
            <a:t>. Fees associated with securing an award of tax credits from a state agency or other entity.</a:t>
          </a:r>
        </a:p>
        <a:p>
          <a:pPr marL="0" marR="0" lvl="0" indent="0" defTabSz="914400" eaLnBrk="1" fontAlgn="auto" latinLnBrk="0" hangingPunct="1">
            <a:lnSpc>
              <a:spcPct val="100000"/>
            </a:lnSpc>
            <a:spcBef>
              <a:spcPts val="0"/>
            </a:spcBef>
            <a:spcAft>
              <a:spcPts val="0"/>
            </a:spcAft>
            <a:buClrTx/>
            <a:buSzTx/>
            <a:buFontTx/>
            <a:buNone/>
            <a:tabLst/>
            <a:defRPr/>
          </a:pPr>
          <a:r>
            <a:rPr lang="en-US" sz="1000" b="0" i="1">
              <a:solidFill>
                <a:schemeClr val="dk1"/>
              </a:solidFill>
              <a:effectLst/>
              <a:latin typeface="+mn-lt"/>
              <a:ea typeface="+mn-ea"/>
              <a:cs typeface="+mn-cs"/>
            </a:rPr>
            <a:t>Note: Tax credit fees are charged by Nebraska Investment Finance Authority (NIFA) for LIHTCs.</a:t>
          </a:r>
          <a:endParaRPr lang="en-US" sz="1000" i="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u="none">
              <a:solidFill>
                <a:schemeClr val="dk1"/>
              </a:solidFill>
              <a:effectLst/>
              <a:latin typeface="+mn-lt"/>
              <a:ea typeface="+mn-ea"/>
              <a:cs typeface="+mn-cs"/>
            </a:rPr>
            <a:t>- PART 8 - Start-Up Expenses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32</a:t>
          </a:r>
          <a:r>
            <a:rPr lang="en-US" sz="1000" b="0" i="0">
              <a:solidFill>
                <a:schemeClr val="dk1"/>
              </a:solidFill>
              <a:effectLst/>
              <a:latin typeface="+mn-lt"/>
              <a:ea typeface="+mn-ea"/>
              <a:cs typeface="+mn-cs"/>
            </a:rPr>
            <a:t>. Expenses related to the incorporation of the ownership entity (e.g.,</a:t>
          </a:r>
          <a:r>
            <a:rPr lang="en-US" sz="1000" b="0" i="0" baseline="0">
              <a:solidFill>
                <a:schemeClr val="dk1"/>
              </a:solidFill>
              <a:effectLst/>
              <a:latin typeface="+mn-lt"/>
              <a:ea typeface="+mn-ea"/>
              <a:cs typeface="+mn-cs"/>
            </a:rPr>
            <a:t> limited liability corporation, limited partnership, etc.) for a real estate project.</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33</a:t>
          </a:r>
          <a:r>
            <a:rPr lang="en-US" sz="1000" b="0" i="0">
              <a:solidFill>
                <a:schemeClr val="dk1"/>
              </a:solidFill>
              <a:effectLst/>
              <a:latin typeface="+mn-lt"/>
              <a:ea typeface="+mn-ea"/>
              <a:cs typeface="+mn-cs"/>
            </a:rPr>
            <a:t>. Estimated</a:t>
          </a:r>
          <a:r>
            <a:rPr lang="en-US" sz="1000" b="0" i="0" baseline="0">
              <a:solidFill>
                <a:schemeClr val="dk1"/>
              </a:solidFill>
              <a:effectLst/>
              <a:latin typeface="+mn-lt"/>
              <a:ea typeface="+mn-ea"/>
              <a:cs typeface="+mn-cs"/>
            </a:rPr>
            <a:t> costs </a:t>
          </a:r>
          <a:r>
            <a:rPr lang="en-US" sz="1000" b="0" i="0">
              <a:solidFill>
                <a:schemeClr val="dk1"/>
              </a:solidFill>
              <a:effectLst/>
              <a:latin typeface="+mn-lt"/>
              <a:ea typeface="+mn-ea"/>
              <a:cs typeface="+mn-cs"/>
            </a:rPr>
            <a:t>associated with marketing a project during development to attract residential and/or commercial</a:t>
          </a:r>
          <a:r>
            <a:rPr lang="en-US" sz="1000" b="0" i="0" baseline="0">
              <a:solidFill>
                <a:schemeClr val="dk1"/>
              </a:solidFill>
              <a:effectLst/>
              <a:latin typeface="+mn-lt"/>
              <a:ea typeface="+mn-ea"/>
              <a:cs typeface="+mn-cs"/>
            </a:rPr>
            <a:t> tenants.</a:t>
          </a:r>
          <a:endParaRPr lang="en-US" sz="10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a:solidFill>
                <a:schemeClr val="dk1"/>
              </a:solidFill>
              <a:effectLst/>
              <a:latin typeface="+mn-lt"/>
              <a:ea typeface="+mn-ea"/>
              <a:cs typeface="+mn-cs"/>
            </a:rPr>
            <a:t>- PART 9 - Syndication Costs -</a:t>
          </a:r>
          <a:endParaRPr lang="en-US" sz="1000"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34</a:t>
          </a:r>
          <a:r>
            <a:rPr lang="en-US" sz="1000" b="0" i="0">
              <a:solidFill>
                <a:schemeClr val="dk1"/>
              </a:solidFill>
              <a:effectLst/>
              <a:latin typeface="+mn-lt"/>
              <a:ea typeface="+mn-ea"/>
              <a:cs typeface="+mn-cs"/>
            </a:rPr>
            <a:t>. Expenses</a:t>
          </a:r>
          <a:r>
            <a:rPr lang="en-US" sz="1000" b="0" i="0" baseline="0">
              <a:solidFill>
                <a:schemeClr val="dk1"/>
              </a:solidFill>
              <a:effectLst/>
              <a:latin typeface="+mn-lt"/>
              <a:ea typeface="+mn-ea"/>
              <a:cs typeface="+mn-cs"/>
            </a:rPr>
            <a:t> associated with legal structuring, underwriting, and closing a project that is being syndicated for participation by a tax credit investor, including legal expenses related to the drafting and negotiation of the partnership agreement, a third party review of the scope/adequacy of the construction budget relative to the proposed scope of work, etc.</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35</a:t>
          </a:r>
          <a:r>
            <a:rPr lang="en-US" sz="1000" b="0" i="0">
              <a:solidFill>
                <a:schemeClr val="dk1"/>
              </a:solidFill>
              <a:effectLst/>
              <a:latin typeface="+mn-lt"/>
              <a:ea typeface="+mn-ea"/>
              <a:cs typeface="+mn-cs"/>
            </a:rPr>
            <a:t>. Expenses</a:t>
          </a:r>
          <a:r>
            <a:rPr lang="en-US" sz="1000" b="0" i="0" baseline="0">
              <a:solidFill>
                <a:schemeClr val="dk1"/>
              </a:solidFill>
              <a:effectLst/>
              <a:latin typeface="+mn-lt"/>
              <a:ea typeface="+mn-ea"/>
              <a:cs typeface="+mn-cs"/>
            </a:rPr>
            <a:t> such as tax attorney fees associated with providing the necessary tax opinion for a syndication.</a:t>
          </a:r>
          <a:endParaRPr lang="en-US" sz="10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a:solidFill>
                <a:schemeClr val="dk1"/>
              </a:solidFill>
              <a:effectLst/>
              <a:latin typeface="+mn-lt"/>
              <a:ea typeface="+mn-ea"/>
              <a:cs typeface="+mn-cs"/>
            </a:rPr>
            <a:t>- PART 10 - Project Reserves</a:t>
          </a:r>
          <a:r>
            <a:rPr lang="en-US" sz="1000" b="1" i="0" baseline="0">
              <a:solidFill>
                <a:schemeClr val="dk1"/>
              </a:solidFill>
              <a:effectLst/>
              <a:latin typeface="+mn-lt"/>
              <a:ea typeface="+mn-ea"/>
              <a:cs typeface="+mn-cs"/>
            </a:rPr>
            <a:t> -</a:t>
          </a:r>
          <a:endParaRPr lang="en-US" sz="1000"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36</a:t>
          </a:r>
          <a:r>
            <a:rPr lang="en-US" sz="1000" b="0" i="0">
              <a:solidFill>
                <a:schemeClr val="dk1"/>
              </a:solidFill>
              <a:effectLst/>
              <a:latin typeface="+mn-lt"/>
              <a:ea typeface="+mn-ea"/>
              <a:cs typeface="+mn-cs"/>
            </a:rPr>
            <a:t>. Budget</a:t>
          </a:r>
          <a:r>
            <a:rPr lang="en-US" sz="1000" b="0" i="0" baseline="0">
              <a:solidFill>
                <a:schemeClr val="dk1"/>
              </a:solidFill>
              <a:effectLst/>
              <a:latin typeface="+mn-lt"/>
              <a:ea typeface="+mn-ea"/>
              <a:cs typeface="+mn-cs"/>
            </a:rPr>
            <a:t> for capitalized reserves to manage risks associated with maintenance and repair costs in excess of annual maintenance budgets, as required by a lender of equity investor.</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a:solidFill>
                <a:schemeClr val="dk1"/>
              </a:solidFill>
              <a:effectLst/>
              <a:latin typeface="+mn-lt"/>
              <a:ea typeface="+mn-ea"/>
              <a:cs typeface="+mn-cs"/>
            </a:rPr>
            <a:t>Line 37</a:t>
          </a:r>
          <a:r>
            <a:rPr lang="en-US" sz="1000" b="0" i="0">
              <a:solidFill>
                <a:schemeClr val="dk1"/>
              </a:solidFill>
              <a:effectLst/>
              <a:latin typeface="+mn-lt"/>
              <a:ea typeface="+mn-ea"/>
              <a:cs typeface="+mn-cs"/>
            </a:rPr>
            <a:t>. Budget for capitalized</a:t>
          </a:r>
          <a:r>
            <a:rPr lang="en-US" sz="1000" b="0" i="0" baseline="0">
              <a:solidFill>
                <a:schemeClr val="dk1"/>
              </a:solidFill>
              <a:effectLst/>
              <a:latin typeface="+mn-lt"/>
              <a:ea typeface="+mn-ea"/>
              <a:cs typeface="+mn-cs"/>
            </a:rPr>
            <a:t> reserves to manage risks associated with operating the project, lease-up through stabilization, and vacancies in excess of projections.</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baseline="0">
              <a:solidFill>
                <a:schemeClr val="dk1"/>
              </a:solidFill>
              <a:effectLst/>
              <a:latin typeface="+mn-lt"/>
              <a:ea typeface="+mn-ea"/>
              <a:cs typeface="+mn-cs"/>
            </a:rPr>
            <a:t>Line 38</a:t>
          </a:r>
          <a:r>
            <a:rPr lang="en-US" sz="1000" b="0" i="0" baseline="0">
              <a:solidFill>
                <a:schemeClr val="dk1"/>
              </a:solidFill>
              <a:effectLst/>
              <a:latin typeface="+mn-lt"/>
              <a:ea typeface="+mn-ea"/>
              <a:cs typeface="+mn-cs"/>
            </a:rPr>
            <a:t>. Budget for </a:t>
          </a:r>
          <a:r>
            <a:rPr lang="en-US" sz="1000" b="0" i="0" baseline="0">
              <a:solidFill>
                <a:sysClr val="windowText" lastClr="000000"/>
              </a:solidFill>
              <a:effectLst/>
              <a:latin typeface="+mn-lt"/>
              <a:ea typeface="+mn-ea"/>
              <a:cs typeface="+mn-cs"/>
            </a:rPr>
            <a:t>the capitalized operating costs assistance reserve (COCAR) to manage risk associated with lack of rental income for the units restricted to the Qualifying Populations.  It must be sized based on an analysis of projected operating deficits remaining after the expected payments toward rent by qualifying households are applied to the HOME-ARP unit's share of operating costs. </a:t>
          </a:r>
          <a:endParaRPr lang="en-US"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baseline="0">
              <a:solidFill>
                <a:schemeClr val="dk1"/>
              </a:solidFill>
              <a:effectLst/>
              <a:latin typeface="+mn-lt"/>
              <a:ea typeface="+mn-ea"/>
              <a:cs typeface="+mn-cs"/>
            </a:rPr>
            <a:t>Line 39</a:t>
          </a:r>
          <a:r>
            <a:rPr lang="en-US" sz="1000" b="0" i="0" baseline="0">
              <a:solidFill>
                <a:schemeClr val="dk1"/>
              </a:solidFill>
              <a:effectLst/>
              <a:latin typeface="+mn-lt"/>
              <a:ea typeface="+mn-ea"/>
              <a:cs typeface="+mn-cs"/>
            </a:rPr>
            <a:t>. Budget for the reserves to manage risks associated with operating the rental housing units that are </a:t>
          </a:r>
          <a:r>
            <a:rPr lang="en-US" sz="1000" b="0" i="0" u="sng" baseline="0">
              <a:solidFill>
                <a:schemeClr val="dk1"/>
              </a:solidFill>
              <a:effectLst/>
              <a:latin typeface="+mn-lt"/>
              <a:ea typeface="+mn-ea"/>
              <a:cs typeface="+mn-cs"/>
            </a:rPr>
            <a:t>not</a:t>
          </a:r>
          <a:r>
            <a:rPr lang="en-US" sz="1000" b="0" i="0" u="none" baseline="0">
              <a:solidFill>
                <a:schemeClr val="dk1"/>
              </a:solidFill>
              <a:effectLst/>
              <a:latin typeface="+mn-lt"/>
              <a:ea typeface="+mn-ea"/>
              <a:cs typeface="+mn-cs"/>
            </a:rPr>
            <a:t> designated for Qualifying Populations. This operative reserve expense is not an eligible HOME-ARP cost.</a:t>
          </a:r>
          <a:endParaRPr lang="en-US"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sng" baseline="0">
              <a:solidFill>
                <a:schemeClr val="dk1"/>
              </a:solidFill>
              <a:effectLst/>
              <a:latin typeface="+mn-lt"/>
              <a:ea typeface="+mn-ea"/>
              <a:cs typeface="+mn-cs"/>
            </a:rPr>
            <a:t>Line 40</a:t>
          </a:r>
          <a:r>
            <a:rPr lang="en-US" sz="1000" b="0" i="0" baseline="0">
              <a:solidFill>
                <a:schemeClr val="dk1"/>
              </a:solidFill>
              <a:effectLst/>
              <a:latin typeface="+mn-lt"/>
              <a:ea typeface="+mn-ea"/>
              <a:cs typeface="+mn-cs"/>
            </a:rPr>
            <a:t>. Budgeted allowance for other fees and expenses in excess of the estimates for construction soft costs. The appropriate percentage for this contingency will match the percentage entered in Line 8.</a:t>
          </a:r>
          <a:endParaRPr lang="en-US" sz="1000">
            <a:effectLst/>
          </a:endParaRPr>
        </a:p>
        <a:p>
          <a:endParaRPr lang="en-US" sz="1000" b="1"/>
        </a:p>
        <a:p>
          <a:pPr eaLnBrk="1" fontAlgn="auto" latinLnBrk="0" hangingPunct="1"/>
          <a:r>
            <a:rPr lang="en-US" sz="1000" b="1" i="0">
              <a:solidFill>
                <a:schemeClr val="dk1"/>
              </a:solidFill>
              <a:effectLst/>
              <a:latin typeface="+mn-lt"/>
              <a:ea typeface="+mn-ea"/>
              <a:cs typeface="+mn-cs"/>
            </a:rPr>
            <a:t>- PART</a:t>
          </a:r>
          <a:r>
            <a:rPr lang="en-US" sz="1000" b="1" i="0" baseline="0">
              <a:solidFill>
                <a:schemeClr val="dk1"/>
              </a:solidFill>
              <a:effectLst/>
              <a:latin typeface="+mn-lt"/>
              <a:ea typeface="+mn-ea"/>
              <a:cs typeface="+mn-cs"/>
            </a:rPr>
            <a:t> 11 - Developer's Fee -</a:t>
          </a:r>
          <a:endParaRPr lang="en-US" sz="1000">
            <a:effectLst/>
          </a:endParaRPr>
        </a:p>
        <a:p>
          <a:pPr eaLnBrk="1" fontAlgn="auto" latinLnBrk="0" hangingPunct="1"/>
          <a:r>
            <a:rPr lang="en-US" sz="1000" b="0" i="0" u="sng">
              <a:solidFill>
                <a:schemeClr val="dk1"/>
              </a:solidFill>
              <a:effectLst/>
              <a:latin typeface="+mn-lt"/>
              <a:ea typeface="+mn-ea"/>
              <a:cs typeface="+mn-cs"/>
            </a:rPr>
            <a:t>Line 41</a:t>
          </a:r>
          <a:r>
            <a:rPr lang="en-US" sz="1000" b="0" i="0">
              <a:solidFill>
                <a:schemeClr val="dk1"/>
              </a:solidFill>
              <a:effectLst/>
              <a:latin typeface="+mn-lt"/>
              <a:ea typeface="+mn-ea"/>
              <a:cs typeface="+mn-cs"/>
            </a:rPr>
            <a:t>. Fee paid</a:t>
          </a:r>
          <a:r>
            <a:rPr lang="en-US" sz="1000" b="0" i="0" baseline="0">
              <a:solidFill>
                <a:schemeClr val="dk1"/>
              </a:solidFill>
              <a:effectLst/>
              <a:latin typeface="+mn-lt"/>
              <a:ea typeface="+mn-ea"/>
              <a:cs typeface="+mn-cs"/>
            </a:rPr>
            <a:t> to a person or entity for managing the development process, including development consultant expenses.</a:t>
          </a:r>
          <a:endParaRPr lang="en-US" sz="1000">
            <a:effectLst/>
          </a:endParaRPr>
        </a:p>
        <a:p>
          <a:pPr eaLnBrk="1" fontAlgn="auto" latinLnBrk="0" hangingPunct="1"/>
          <a:r>
            <a:rPr lang="en-US" sz="1000" b="0" i="1" baseline="0">
              <a:solidFill>
                <a:schemeClr val="dk1"/>
              </a:solidFill>
              <a:effectLst/>
              <a:latin typeface="+mn-lt"/>
              <a:ea typeface="+mn-ea"/>
              <a:cs typeface="+mn-cs"/>
            </a:rPr>
            <a:t>Note: Fee is calculated as a percentage of the total development costs less acquisition costs and any reserves. This percentage shall not exceed 15%.</a:t>
          </a:r>
          <a:endParaRPr lang="en-US" sz="1000">
            <a:effectLst/>
          </a:endParaRPr>
        </a:p>
        <a:p>
          <a:pPr eaLnBrk="1" fontAlgn="auto" latinLnBrk="0" hangingPunct="1"/>
          <a:r>
            <a:rPr lang="en-US" sz="1000" b="0" i="0" u="sng">
              <a:solidFill>
                <a:schemeClr val="dk1"/>
              </a:solidFill>
              <a:effectLst/>
              <a:latin typeface="+mn-lt"/>
              <a:ea typeface="+mn-ea"/>
              <a:cs typeface="+mn-cs"/>
            </a:rPr>
            <a:t>Line 42</a:t>
          </a:r>
          <a:r>
            <a:rPr lang="en-US" sz="1000" b="0" i="0">
              <a:solidFill>
                <a:schemeClr val="dk1"/>
              </a:solidFill>
              <a:effectLst/>
              <a:latin typeface="+mn-lt"/>
              <a:ea typeface="+mn-ea"/>
              <a:cs typeface="+mn-cs"/>
            </a:rPr>
            <a:t>. Fee paid to a person or entity for finding, analyzing,</a:t>
          </a:r>
          <a:r>
            <a:rPr lang="en-US" sz="1000" b="0" i="0" baseline="0">
              <a:solidFill>
                <a:schemeClr val="dk1"/>
              </a:solidFill>
              <a:effectLst/>
              <a:latin typeface="+mn-lt"/>
              <a:ea typeface="+mn-ea"/>
              <a:cs typeface="+mn-cs"/>
            </a:rPr>
            <a:t> and financing the project site(s).</a:t>
          </a:r>
          <a:endParaRPr lang="en-US" sz="10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ne-my.sharepoint.com/Users/saraticho/AppData/Local/Microsoft/Windows/INetCache/Content.Outlook/7QQ9P9P9/HOME%20HTF-Cost-Allocation-Tool%20Ma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HTF Cost Allocation Tool"/>
      <sheetName val="General Instructions"/>
      <sheetName val="Subsidy Limits"/>
      <sheetName val="HOME &amp; HTF Rent Limit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2CCC-B1DB-400C-A724-9B0949C3051F}">
  <sheetPr codeName="Sheet1">
    <tabColor theme="8" tint="-0.499984740745262"/>
  </sheetPr>
  <dimension ref="A1:AG95"/>
  <sheetViews>
    <sheetView showGridLines="0" topLeftCell="A4" zoomScale="84" zoomScaleNormal="84" workbookViewId="0">
      <selection activeCell="G60" sqref="G60"/>
    </sheetView>
  </sheetViews>
  <sheetFormatPr defaultRowHeight="15"/>
  <cols>
    <col min="1" max="1" width="23.85546875" customWidth="1"/>
    <col min="2" max="3" width="13.7109375" customWidth="1"/>
    <col min="4" max="4" width="13.5703125" customWidth="1"/>
    <col min="5" max="5" width="2.7109375" style="32" customWidth="1"/>
    <col min="6" max="9" width="14.85546875" customWidth="1"/>
    <col min="10" max="10" width="2.7109375" style="32" customWidth="1"/>
    <col min="11" max="11" width="17.140625" customWidth="1"/>
    <col min="12" max="13" width="14.5703125" customWidth="1"/>
    <col min="14" max="14" width="2.7109375" style="32" customWidth="1"/>
    <col min="15" max="15" width="14.5703125" customWidth="1"/>
    <col min="16" max="16" width="14.85546875" customWidth="1"/>
    <col min="17" max="17" width="2.7109375" style="32" customWidth="1"/>
    <col min="18" max="18" width="14.5703125" customWidth="1"/>
    <col min="19" max="20" width="14.85546875" customWidth="1"/>
    <col min="21" max="21" width="14.85546875" style="32" customWidth="1"/>
    <col min="22" max="22" width="3.7109375" customWidth="1"/>
    <col min="23" max="24" width="20.7109375" style="103" customWidth="1"/>
    <col min="25" max="25" width="20.7109375" customWidth="1"/>
    <col min="26" max="27" width="18.5703125" customWidth="1"/>
    <col min="28" max="28" width="17.140625" customWidth="1"/>
    <col min="29" max="29" width="2.7109375" customWidth="1"/>
  </cols>
  <sheetData>
    <row r="1" spans="1:29" ht="31.5">
      <c r="A1" s="19" t="s">
        <v>0</v>
      </c>
      <c r="C1" s="19"/>
      <c r="D1" s="19"/>
      <c r="E1" s="33"/>
      <c r="F1" s="19"/>
      <c r="G1" s="19"/>
      <c r="H1" s="19"/>
      <c r="I1" s="19"/>
      <c r="J1" s="33"/>
      <c r="K1" s="19"/>
      <c r="L1" s="19"/>
      <c r="M1" s="19"/>
      <c r="N1" s="33"/>
      <c r="O1" s="19"/>
      <c r="P1" s="19"/>
      <c r="Q1" s="33"/>
      <c r="R1" s="33"/>
      <c r="S1" s="33"/>
      <c r="T1" s="33"/>
      <c r="U1" s="33"/>
    </row>
    <row r="2" spans="1:29" s="32" customFormat="1" ht="6" customHeight="1">
      <c r="B2" s="34"/>
      <c r="C2" s="34"/>
      <c r="D2" s="31"/>
      <c r="E2" s="31"/>
      <c r="F2" s="31"/>
      <c r="G2" s="31"/>
      <c r="H2" s="31"/>
      <c r="I2" s="31"/>
      <c r="J2" s="31"/>
      <c r="K2" s="31"/>
      <c r="L2" s="31"/>
      <c r="M2" s="31"/>
      <c r="N2" s="31"/>
      <c r="O2" s="31"/>
      <c r="P2" s="31"/>
      <c r="Q2" s="31"/>
      <c r="R2" s="31"/>
      <c r="S2" s="31"/>
      <c r="T2" s="31"/>
      <c r="U2" s="31"/>
      <c r="AA2"/>
      <c r="AB2"/>
      <c r="AC2"/>
    </row>
    <row r="3" spans="1:29" ht="6" customHeight="1">
      <c r="A3" s="35"/>
      <c r="B3" s="35"/>
      <c r="C3" s="35"/>
      <c r="D3" s="35"/>
      <c r="E3" s="35"/>
      <c r="F3" s="35"/>
      <c r="G3" s="35"/>
      <c r="H3" s="35"/>
      <c r="I3" s="35"/>
      <c r="J3" s="35"/>
      <c r="K3" s="35"/>
      <c r="L3" s="35"/>
      <c r="M3" s="35"/>
      <c r="N3" s="35"/>
      <c r="O3" s="35"/>
      <c r="P3" s="35"/>
      <c r="Q3" s="35"/>
      <c r="R3" s="35"/>
      <c r="S3" s="35"/>
      <c r="T3" s="35"/>
      <c r="U3" s="35"/>
      <c r="V3" s="35"/>
    </row>
    <row r="4" spans="1:29" ht="6" customHeight="1">
      <c r="B4" s="34"/>
      <c r="C4" s="34"/>
      <c r="D4" s="78"/>
      <c r="E4" s="31"/>
      <c r="F4" s="78"/>
      <c r="G4" s="78"/>
      <c r="H4" s="78"/>
      <c r="I4" s="78"/>
      <c r="J4" s="31"/>
      <c r="K4" s="78"/>
      <c r="L4" s="78"/>
      <c r="M4" s="78"/>
      <c r="N4" s="31"/>
      <c r="O4" s="78"/>
      <c r="P4" s="78"/>
      <c r="Q4" s="31"/>
      <c r="R4" s="31"/>
      <c r="S4" s="31"/>
      <c r="T4" s="31"/>
      <c r="U4" s="31"/>
    </row>
    <row r="5" spans="1:29" ht="33" customHeight="1">
      <c r="A5" s="152" t="s">
        <v>1</v>
      </c>
      <c r="C5" s="1"/>
      <c r="D5" s="1"/>
      <c r="E5"/>
      <c r="F5" s="103"/>
      <c r="J5"/>
      <c r="N5"/>
      <c r="P5" s="103"/>
      <c r="Q5"/>
    </row>
    <row r="6" spans="1:29" ht="17.25" customHeight="1" thickBot="1">
      <c r="A6" s="446" t="s">
        <v>2</v>
      </c>
      <c r="B6" s="446"/>
      <c r="C6" s="446"/>
      <c r="D6" s="446"/>
      <c r="E6" s="277"/>
      <c r="F6" s="422" t="s">
        <v>3</v>
      </c>
      <c r="G6" s="422"/>
      <c r="H6" s="422"/>
      <c r="I6" s="422"/>
      <c r="J6" s="350"/>
      <c r="K6" s="423" t="s">
        <v>4</v>
      </c>
      <c r="L6" s="423"/>
      <c r="M6" s="423"/>
      <c r="N6" s="350"/>
      <c r="O6" s="423" t="s">
        <v>5</v>
      </c>
      <c r="P6" s="423"/>
      <c r="Q6"/>
    </row>
    <row r="7" spans="1:29" ht="45.75" customHeight="1" thickBot="1">
      <c r="A7" s="281" t="s">
        <v>6</v>
      </c>
      <c r="B7" s="85" t="s">
        <v>7</v>
      </c>
      <c r="C7" s="85" t="s">
        <v>8</v>
      </c>
      <c r="D7" s="38" t="s">
        <v>9</v>
      </c>
      <c r="E7" s="88"/>
      <c r="F7" s="42" t="s">
        <v>10</v>
      </c>
      <c r="G7" s="170" t="s">
        <v>11</v>
      </c>
      <c r="H7" s="42" t="s">
        <v>12</v>
      </c>
      <c r="I7" s="42" t="s">
        <v>13</v>
      </c>
      <c r="J7" s="88"/>
      <c r="K7" s="42" t="s">
        <v>4</v>
      </c>
      <c r="L7" s="42" t="s">
        <v>14</v>
      </c>
      <c r="M7" s="42" t="s">
        <v>15</v>
      </c>
      <c r="N7" s="88"/>
      <c r="O7" s="42" t="s">
        <v>16</v>
      </c>
      <c r="P7" s="42" t="s">
        <v>17</v>
      </c>
      <c r="Q7" s="88"/>
      <c r="R7" s="424" t="s">
        <v>18</v>
      </c>
      <c r="S7" s="425"/>
      <c r="T7" s="425"/>
      <c r="U7" s="426"/>
    </row>
    <row r="8" spans="1:29" ht="19.5" customHeight="1" thickBot="1">
      <c r="A8" s="2" t="s">
        <v>19</v>
      </c>
      <c r="C8" s="2"/>
      <c r="D8" s="2"/>
      <c r="E8" s="104"/>
      <c r="F8" s="2"/>
      <c r="G8" s="2"/>
      <c r="H8" s="2"/>
      <c r="I8" s="2"/>
      <c r="J8" s="90"/>
      <c r="K8" s="2"/>
      <c r="L8" s="2"/>
      <c r="M8" s="2"/>
      <c r="N8" s="90"/>
      <c r="O8" s="2"/>
      <c r="P8" s="2"/>
      <c r="Q8" s="104"/>
      <c r="R8" s="427" t="s">
        <v>5</v>
      </c>
      <c r="S8" s="428"/>
      <c r="T8" s="351"/>
      <c r="U8" s="155" t="s">
        <v>20</v>
      </c>
    </row>
    <row r="9" spans="1:29" s="1" customFormat="1" ht="20.25" customHeight="1">
      <c r="A9" s="368"/>
      <c r="B9" s="369"/>
      <c r="C9" s="369"/>
      <c r="D9" s="370"/>
      <c r="E9" s="81"/>
      <c r="F9" s="377"/>
      <c r="G9" s="378"/>
      <c r="H9" s="82">
        <f>F9-G9</f>
        <v>0</v>
      </c>
      <c r="I9" s="94">
        <f>H9*D9</f>
        <v>0</v>
      </c>
      <c r="J9" s="89"/>
      <c r="K9" s="437" t="s">
        <v>21</v>
      </c>
      <c r="L9" s="437"/>
      <c r="M9" s="437"/>
      <c r="N9" s="89"/>
      <c r="O9" s="383"/>
      <c r="P9" s="98">
        <f>O9*$D9</f>
        <v>0</v>
      </c>
      <c r="Q9" s="81"/>
      <c r="R9" s="416" t="s">
        <v>22</v>
      </c>
      <c r="S9" s="417"/>
      <c r="T9" s="418"/>
      <c r="U9" s="110">
        <v>275</v>
      </c>
      <c r="W9" s="169"/>
      <c r="AA9"/>
      <c r="AB9"/>
    </row>
    <row r="10" spans="1:29" s="1" customFormat="1" ht="20.25" customHeight="1">
      <c r="A10" s="371"/>
      <c r="B10" s="372"/>
      <c r="C10" s="372"/>
      <c r="D10" s="373"/>
      <c r="E10" s="81"/>
      <c r="F10" s="379"/>
      <c r="G10" s="380"/>
      <c r="H10" s="83">
        <f>F10-G10</f>
        <v>0</v>
      </c>
      <c r="I10" s="95">
        <f>H10*D10</f>
        <v>0</v>
      </c>
      <c r="J10" s="89"/>
      <c r="K10" s="437"/>
      <c r="L10" s="437"/>
      <c r="M10" s="437"/>
      <c r="N10" s="89"/>
      <c r="O10" s="384"/>
      <c r="P10" s="99">
        <f>O10*$D10</f>
        <v>0</v>
      </c>
      <c r="Q10" s="81"/>
      <c r="R10" s="434" t="s">
        <v>23</v>
      </c>
      <c r="S10" s="435"/>
      <c r="T10" s="436"/>
      <c r="U10" s="111">
        <v>450</v>
      </c>
      <c r="AA10"/>
      <c r="AB10"/>
    </row>
    <row r="11" spans="1:29" s="1" customFormat="1" ht="20.25" customHeight="1">
      <c r="A11" s="371"/>
      <c r="B11" s="372"/>
      <c r="C11" s="372"/>
      <c r="D11" s="373"/>
      <c r="E11" s="81"/>
      <c r="F11" s="379"/>
      <c r="G11" s="380"/>
      <c r="H11" s="83">
        <f>F11-G11</f>
        <v>0</v>
      </c>
      <c r="I11" s="95">
        <f>H11*D11</f>
        <v>0</v>
      </c>
      <c r="J11" s="89"/>
      <c r="K11" s="437"/>
      <c r="L11" s="437"/>
      <c r="M11" s="437"/>
      <c r="N11" s="89"/>
      <c r="O11" s="384"/>
      <c r="P11" s="99">
        <f>O11*$D11</f>
        <v>0</v>
      </c>
      <c r="Q11" s="81"/>
      <c r="R11" s="431">
        <v>1</v>
      </c>
      <c r="S11" s="432"/>
      <c r="T11" s="433"/>
      <c r="U11" s="111">
        <v>650</v>
      </c>
      <c r="AA11"/>
      <c r="AB11"/>
    </row>
    <row r="12" spans="1:29" s="1" customFormat="1" ht="20.25" customHeight="1">
      <c r="A12" s="371"/>
      <c r="B12" s="372"/>
      <c r="C12" s="372"/>
      <c r="D12" s="373"/>
      <c r="E12" s="81"/>
      <c r="F12" s="379"/>
      <c r="G12" s="380"/>
      <c r="H12" s="83">
        <f>F12-G12</f>
        <v>0</v>
      </c>
      <c r="I12" s="95">
        <f>H12*D12</f>
        <v>0</v>
      </c>
      <c r="J12" s="89"/>
      <c r="K12" s="437"/>
      <c r="L12" s="437"/>
      <c r="M12" s="437"/>
      <c r="N12" s="89"/>
      <c r="O12" s="384"/>
      <c r="P12" s="99">
        <f>O12*$D12</f>
        <v>0</v>
      </c>
      <c r="Q12" s="81"/>
      <c r="R12" s="431">
        <v>2</v>
      </c>
      <c r="S12" s="432"/>
      <c r="T12" s="433"/>
      <c r="U12" s="111">
        <v>800</v>
      </c>
      <c r="AA12"/>
      <c r="AB12"/>
    </row>
    <row r="13" spans="1:29" s="1" customFormat="1" ht="20.25" customHeight="1" thickBot="1">
      <c r="A13" s="374"/>
      <c r="B13" s="375"/>
      <c r="C13" s="375"/>
      <c r="D13" s="376"/>
      <c r="E13" s="81"/>
      <c r="F13" s="381"/>
      <c r="G13" s="382"/>
      <c r="H13" s="84">
        <f>F13-G13</f>
        <v>0</v>
      </c>
      <c r="I13" s="96">
        <f>H13*D13</f>
        <v>0</v>
      </c>
      <c r="J13" s="89"/>
      <c r="K13" s="437"/>
      <c r="L13" s="437"/>
      <c r="M13" s="437"/>
      <c r="N13" s="89"/>
      <c r="O13" s="385"/>
      <c r="P13" s="100">
        <f>O13*$D13</f>
        <v>0</v>
      </c>
      <c r="Q13" s="81"/>
      <c r="R13" s="431">
        <v>3</v>
      </c>
      <c r="S13" s="432"/>
      <c r="T13" s="433"/>
      <c r="U13" s="111">
        <v>1000</v>
      </c>
      <c r="AA13"/>
      <c r="AB13"/>
    </row>
    <row r="14" spans="1:29" s="1" customFormat="1" ht="30" customHeight="1" thickBot="1">
      <c r="B14" s="447" t="s">
        <v>24</v>
      </c>
      <c r="C14" s="448"/>
      <c r="D14" s="77">
        <f>SUM(D9:D13)</f>
        <v>0</v>
      </c>
      <c r="E14" s="81"/>
      <c r="F14" s="440" t="s">
        <v>25</v>
      </c>
      <c r="G14" s="441"/>
      <c r="H14" s="79">
        <f>SUM(H9:H13)</f>
        <v>0</v>
      </c>
      <c r="I14" s="79">
        <f>SUM(I9:I13)</f>
        <v>0</v>
      </c>
      <c r="J14" s="89"/>
      <c r="K14"/>
      <c r="L14"/>
      <c r="M14"/>
      <c r="N14" s="89"/>
      <c r="O14" s="105" t="s">
        <v>26</v>
      </c>
      <c r="P14" s="101">
        <f>SUM(P9:P13)</f>
        <v>0</v>
      </c>
      <c r="Q14" s="81"/>
      <c r="R14" s="419">
        <v>4</v>
      </c>
      <c r="S14" s="420"/>
      <c r="T14" s="421"/>
      <c r="U14" s="112">
        <v>1100</v>
      </c>
      <c r="AA14"/>
      <c r="AB14"/>
    </row>
    <row r="15" spans="1:29" s="1" customFormat="1" ht="5.25" customHeight="1">
      <c r="B15"/>
      <c r="C15"/>
      <c r="D15" s="93"/>
      <c r="E15" s="39"/>
      <c r="F15" s="103"/>
      <c r="G15" s="103"/>
      <c r="H15" s="323"/>
      <c r="I15" s="323"/>
      <c r="J15"/>
      <c r="K15"/>
      <c r="L15"/>
      <c r="M15"/>
      <c r="N15" s="89"/>
      <c r="O15"/>
      <c r="P15" s="134"/>
      <c r="Q15" s="39"/>
      <c r="AA15"/>
      <c r="AB15"/>
    </row>
    <row r="16" spans="1:29" ht="20.25" customHeight="1" thickBot="1">
      <c r="A16" s="2" t="s">
        <v>27</v>
      </c>
      <c r="C16" s="91"/>
      <c r="D16" s="91"/>
      <c r="E16" s="104"/>
      <c r="F16" s="324"/>
      <c r="G16" s="324"/>
      <c r="H16" s="324"/>
      <c r="I16" s="324"/>
      <c r="J16" s="90"/>
      <c r="N16"/>
      <c r="O16" s="91"/>
      <c r="P16" s="135"/>
      <c r="Q16" s="104"/>
      <c r="U16"/>
    </row>
    <row r="17" spans="1:33" ht="20.25" customHeight="1">
      <c r="A17" s="368"/>
      <c r="B17" s="369"/>
      <c r="C17" s="369"/>
      <c r="D17" s="370"/>
      <c r="E17" s="81"/>
      <c r="F17" s="389"/>
      <c r="G17" s="378"/>
      <c r="H17" s="82">
        <f>F17-G17</f>
        <v>0</v>
      </c>
      <c r="I17" s="94">
        <f>H17*D17</f>
        <v>0</v>
      </c>
      <c r="J17" s="89"/>
      <c r="K17" s="386"/>
      <c r="L17" s="82" t="str">
        <f>IFERROR(IF(ISBLANK(K17),"",IF(K17="50% AMI",VLOOKUP(B17,AMI!$A$7:$C$13,3,0),VLOOKUP(B17,AMI!$A$7:$C$13,2,0))),"")</f>
        <v/>
      </c>
      <c r="M17" s="94" t="str">
        <f>IF(OR(ISBLANK($K17),ISBLANK($F17)),"",IF($F17&lt;=$L17,"APPROVED","REVISE"))</f>
        <v/>
      </c>
      <c r="N17"/>
      <c r="O17" s="383"/>
      <c r="P17" s="98">
        <f>O17*$D17</f>
        <v>0</v>
      </c>
      <c r="Q17" s="81"/>
      <c r="U17"/>
      <c r="V17" s="103"/>
      <c r="X17"/>
    </row>
    <row r="18" spans="1:33" s="1" customFormat="1" ht="20.25" customHeight="1">
      <c r="A18" s="371"/>
      <c r="B18" s="372"/>
      <c r="C18" s="372"/>
      <c r="D18" s="373"/>
      <c r="E18" s="81"/>
      <c r="F18" s="379"/>
      <c r="G18" s="380"/>
      <c r="H18" s="83">
        <f>F18-G18</f>
        <v>0</v>
      </c>
      <c r="I18" s="95">
        <f>H18*D18</f>
        <v>0</v>
      </c>
      <c r="J18" s="89"/>
      <c r="K18" s="387"/>
      <c r="L18" s="83" t="str">
        <f>IFERROR(IF(ISBLANK(K18),"",IF(K18="50% AMI",VLOOKUP(B18,AMI!$A$7:$C$13,3,0),VLOOKUP(B18,AMI!$A$7:$C$13,2,0))),"")</f>
        <v/>
      </c>
      <c r="M18" s="95" t="str">
        <f t="shared" ref="M18:M21" si="0">IF(OR(ISBLANK($K18),ISBLANK($F18)),"",IF($F18&lt;=$L18,"APPROVED","REVISE"))</f>
        <v/>
      </c>
      <c r="N18"/>
      <c r="O18" s="384"/>
      <c r="P18" s="99">
        <f>O18*$D18</f>
        <v>0</v>
      </c>
      <c r="Q18" s="81"/>
      <c r="R18"/>
      <c r="S18"/>
      <c r="T18"/>
      <c r="U18"/>
      <c r="Z18"/>
      <c r="AA18"/>
      <c r="AB18"/>
    </row>
    <row r="19" spans="1:33" s="1" customFormat="1" ht="20.25" customHeight="1">
      <c r="A19" s="371"/>
      <c r="B19" s="372"/>
      <c r="C19" s="372"/>
      <c r="D19" s="373"/>
      <c r="E19" s="81"/>
      <c r="F19" s="379"/>
      <c r="G19" s="380"/>
      <c r="H19" s="83">
        <f>F19-G19</f>
        <v>0</v>
      </c>
      <c r="I19" s="95">
        <f>H19*D19</f>
        <v>0</v>
      </c>
      <c r="J19" s="89"/>
      <c r="K19" s="387"/>
      <c r="L19" s="83" t="str">
        <f>IFERROR(IF(ISBLANK(K19),"",IF(K19="50% AMI",VLOOKUP(B19,AMI!$A$7:$C$13,3,0),VLOOKUP(B19,AMI!$A$7:$C$13,2,0))),"")</f>
        <v/>
      </c>
      <c r="M19" s="95" t="str">
        <f t="shared" si="0"/>
        <v/>
      </c>
      <c r="N19"/>
      <c r="O19" s="384"/>
      <c r="P19" s="99">
        <f>O19*$D19</f>
        <v>0</v>
      </c>
      <c r="Q19" s="81"/>
      <c r="R19"/>
      <c r="S19"/>
      <c r="T19"/>
      <c r="U19"/>
      <c r="Z19"/>
      <c r="AA19"/>
      <c r="AB19"/>
    </row>
    <row r="20" spans="1:33" s="1" customFormat="1" ht="20.25" customHeight="1">
      <c r="A20" s="371"/>
      <c r="B20" s="372"/>
      <c r="C20" s="372"/>
      <c r="D20" s="373"/>
      <c r="E20" s="81"/>
      <c r="F20" s="379"/>
      <c r="G20" s="380"/>
      <c r="H20" s="83">
        <f>F20-G20</f>
        <v>0</v>
      </c>
      <c r="I20" s="95">
        <f>H20*D20</f>
        <v>0</v>
      </c>
      <c r="J20" s="89"/>
      <c r="K20" s="387"/>
      <c r="L20" s="83" t="str">
        <f>IFERROR(IF(ISBLANK(K20),"",IF(K20="50% AMI",VLOOKUP(B20,AMI!$A$7:$C$13,3,0),VLOOKUP(B20,AMI!$A$7:$C$13,2,0))),"")</f>
        <v/>
      </c>
      <c r="M20" s="95" t="str">
        <f t="shared" si="0"/>
        <v/>
      </c>
      <c r="N20"/>
      <c r="O20" s="384"/>
      <c r="P20" s="99">
        <f>O20*$D20</f>
        <v>0</v>
      </c>
      <c r="Q20" s="81"/>
      <c r="R20"/>
      <c r="S20"/>
      <c r="T20"/>
      <c r="U20"/>
      <c r="V20" s="103"/>
      <c r="W20" s="103"/>
      <c r="X20"/>
      <c r="Y20"/>
      <c r="Z20"/>
      <c r="AA20"/>
      <c r="AB20"/>
    </row>
    <row r="21" spans="1:33" s="1" customFormat="1" ht="20.25" customHeight="1" thickBot="1">
      <c r="A21" s="374"/>
      <c r="B21" s="375"/>
      <c r="C21" s="375"/>
      <c r="D21" s="376"/>
      <c r="E21" s="81"/>
      <c r="F21" s="381"/>
      <c r="G21" s="382"/>
      <c r="H21" s="84">
        <f>F21-G21</f>
        <v>0</v>
      </c>
      <c r="I21" s="96">
        <f>H21*D21</f>
        <v>0</v>
      </c>
      <c r="J21" s="89"/>
      <c r="K21" s="388"/>
      <c r="L21" s="84" t="str">
        <f>IFERROR(IF(ISBLANK(K21),"",IF(K21="50% AMI",VLOOKUP(B21,AMI!$A$7:$C$13,3,0),VLOOKUP(B21,AMI!$A$7:$C$13,2,0))),"")</f>
        <v/>
      </c>
      <c r="M21" s="96" t="str">
        <f t="shared" si="0"/>
        <v/>
      </c>
      <c r="N21"/>
      <c r="O21" s="385"/>
      <c r="P21" s="100">
        <f>O21*$D21</f>
        <v>0</v>
      </c>
      <c r="Q21" s="81"/>
      <c r="R21"/>
      <c r="S21"/>
      <c r="T21"/>
      <c r="U21"/>
      <c r="V21" s="103"/>
      <c r="W21" s="103"/>
      <c r="X21"/>
      <c r="Y21"/>
      <c r="Z21"/>
      <c r="AA21"/>
      <c r="AB21"/>
    </row>
    <row r="22" spans="1:33" s="1" customFormat="1" ht="30" customHeight="1" thickBot="1">
      <c r="B22" s="447" t="s">
        <v>24</v>
      </c>
      <c r="C22" s="448"/>
      <c r="D22" s="77">
        <f>SUM(D17:D21)</f>
        <v>0</v>
      </c>
      <c r="E22" s="81"/>
      <c r="F22" s="440" t="s">
        <v>25</v>
      </c>
      <c r="G22" s="441"/>
      <c r="H22" s="79">
        <f>SUM(H17:H21)</f>
        <v>0</v>
      </c>
      <c r="I22" s="79">
        <f>SUM(I17:I21)</f>
        <v>0</v>
      </c>
      <c r="J22" s="89"/>
      <c r="K22" s="92"/>
      <c r="L22" s="92"/>
      <c r="M22" s="92"/>
      <c r="N22" s="89"/>
      <c r="O22" s="105" t="s">
        <v>26</v>
      </c>
      <c r="P22" s="101">
        <f>SUM(P17:P21)</f>
        <v>0</v>
      </c>
      <c r="Q22" s="81"/>
      <c r="R22"/>
      <c r="S22"/>
      <c r="T22"/>
      <c r="U22"/>
      <c r="Z22"/>
      <c r="AA22"/>
    </row>
    <row r="23" spans="1:33" s="1" customFormat="1" ht="5.25" customHeight="1">
      <c r="B23" s="349"/>
      <c r="C23" s="2"/>
      <c r="D23" s="46"/>
      <c r="E23" s="104"/>
      <c r="F23" s="46"/>
      <c r="G23" s="46"/>
      <c r="H23" s="46"/>
      <c r="I23" s="46"/>
      <c r="J23" s="90"/>
      <c r="K23"/>
      <c r="L23"/>
      <c r="M23"/>
      <c r="N23"/>
      <c r="O23" s="2"/>
      <c r="P23" s="136"/>
      <c r="Q23" s="104"/>
      <c r="R23"/>
      <c r="S23"/>
      <c r="T23"/>
      <c r="U23"/>
      <c r="V23"/>
      <c r="W23"/>
      <c r="X23"/>
      <c r="Y23"/>
      <c r="Z23"/>
      <c r="AA23"/>
      <c r="AB23"/>
      <c r="AC23"/>
    </row>
    <row r="24" spans="1:33" ht="20.25" customHeight="1" thickBot="1">
      <c r="A24" s="91" t="s">
        <v>28</v>
      </c>
      <c r="C24" s="91"/>
      <c r="D24" s="91"/>
      <c r="E24" s="104"/>
      <c r="F24" s="324"/>
      <c r="G24" s="324"/>
      <c r="H24" s="324"/>
      <c r="I24" s="324"/>
      <c r="J24" s="90"/>
      <c r="N24"/>
      <c r="O24" s="91"/>
      <c r="P24" s="135"/>
      <c r="Q24" s="104"/>
      <c r="U24"/>
      <c r="W24"/>
      <c r="X24"/>
    </row>
    <row r="25" spans="1:33" ht="20.25" customHeight="1">
      <c r="A25" s="368"/>
      <c r="B25" s="369"/>
      <c r="C25" s="369"/>
      <c r="D25" s="370"/>
      <c r="E25" s="81"/>
      <c r="F25" s="389"/>
      <c r="G25" s="378"/>
      <c r="H25" s="82">
        <f>F25-G25</f>
        <v>0</v>
      </c>
      <c r="I25" s="94">
        <f>H25*D25</f>
        <v>0</v>
      </c>
      <c r="J25" s="89"/>
      <c r="K25" s="437" t="s">
        <v>21</v>
      </c>
      <c r="L25" s="437"/>
      <c r="M25" s="437"/>
      <c r="N25"/>
      <c r="O25" s="383"/>
      <c r="P25" s="98">
        <f>O25*$D25</f>
        <v>0</v>
      </c>
      <c r="Q25" s="81"/>
      <c r="U25"/>
      <c r="V25" s="167"/>
      <c r="W25" s="167"/>
      <c r="X25" s="167"/>
      <c r="Y25" s="167"/>
      <c r="Z25" s="167"/>
      <c r="AA25" s="167"/>
      <c r="AB25" s="167"/>
      <c r="AC25" s="167"/>
      <c r="AD25" s="167"/>
      <c r="AE25" s="167"/>
      <c r="AF25" s="167"/>
      <c r="AG25" s="167"/>
    </row>
    <row r="26" spans="1:33" s="1" customFormat="1" ht="20.25" customHeight="1">
      <c r="A26" s="371"/>
      <c r="B26" s="372"/>
      <c r="C26" s="372"/>
      <c r="D26" s="373"/>
      <c r="E26" s="81"/>
      <c r="F26" s="379"/>
      <c r="G26" s="380"/>
      <c r="H26" s="83">
        <f>F26-G26</f>
        <v>0</v>
      </c>
      <c r="I26" s="95">
        <f>H26*D26</f>
        <v>0</v>
      </c>
      <c r="J26" s="89"/>
      <c r="K26" s="437"/>
      <c r="L26" s="437"/>
      <c r="M26" s="437"/>
      <c r="N26"/>
      <c r="O26" s="384"/>
      <c r="P26" s="99">
        <f>O26*$D26</f>
        <v>0</v>
      </c>
      <c r="Q26" s="81"/>
      <c r="R26"/>
      <c r="S26"/>
      <c r="T26"/>
      <c r="U26"/>
      <c r="V26" s="32"/>
      <c r="W26" s="32"/>
      <c r="X26" s="32"/>
      <c r="Y26" s="32"/>
      <c r="Z26" s="32"/>
      <c r="AA26" s="32"/>
      <c r="AB26" s="32"/>
      <c r="AC26" s="32"/>
      <c r="AD26" s="89"/>
      <c r="AE26" s="89"/>
      <c r="AF26" s="89"/>
      <c r="AG26" s="89"/>
    </row>
    <row r="27" spans="1:33" s="1" customFormat="1" ht="20.25" customHeight="1">
      <c r="A27" s="371"/>
      <c r="B27" s="372"/>
      <c r="C27" s="372"/>
      <c r="D27" s="373"/>
      <c r="E27" s="81"/>
      <c r="F27" s="379"/>
      <c r="G27" s="380"/>
      <c r="H27" s="83">
        <f>F27-G27</f>
        <v>0</v>
      </c>
      <c r="I27" s="95">
        <f>H27*D27</f>
        <v>0</v>
      </c>
      <c r="J27" s="89"/>
      <c r="K27" s="437"/>
      <c r="L27" s="437"/>
      <c r="M27" s="437"/>
      <c r="N27"/>
      <c r="O27" s="384"/>
      <c r="P27" s="99">
        <f>O27*$D27</f>
        <v>0</v>
      </c>
      <c r="Q27" s="81"/>
      <c r="R27"/>
      <c r="S27"/>
      <c r="T27"/>
      <c r="U27"/>
      <c r="V27" s="32"/>
      <c r="W27" s="32"/>
      <c r="X27" s="32"/>
      <c r="Y27" s="32"/>
      <c r="Z27" s="32"/>
      <c r="AA27" s="32"/>
      <c r="AB27" s="32"/>
      <c r="AC27" s="32"/>
      <c r="AD27" s="89"/>
      <c r="AE27" s="89"/>
      <c r="AF27" s="89"/>
      <c r="AG27" s="89"/>
    </row>
    <row r="28" spans="1:33" s="1" customFormat="1" ht="20.25" customHeight="1">
      <c r="A28" s="371"/>
      <c r="B28" s="372"/>
      <c r="C28" s="372"/>
      <c r="D28" s="373"/>
      <c r="E28" s="81"/>
      <c r="F28" s="379"/>
      <c r="G28" s="380"/>
      <c r="H28" s="83">
        <f>F28-G28</f>
        <v>0</v>
      </c>
      <c r="I28" s="95">
        <f>H28*D28</f>
        <v>0</v>
      </c>
      <c r="J28" s="89"/>
      <c r="K28" s="437"/>
      <c r="L28" s="437"/>
      <c r="M28" s="437"/>
      <c r="N28"/>
      <c r="O28" s="384"/>
      <c r="P28" s="99">
        <f>O28*$D28</f>
        <v>0</v>
      </c>
      <c r="Q28" s="81"/>
      <c r="R28"/>
      <c r="S28"/>
      <c r="T28"/>
      <c r="U28"/>
      <c r="V28" s="32"/>
      <c r="W28" s="32"/>
      <c r="X28" s="32"/>
      <c r="Y28" s="32"/>
      <c r="Z28" s="32"/>
      <c r="AA28" s="32"/>
      <c r="AB28" s="32"/>
      <c r="AC28" s="32"/>
      <c r="AD28" s="89"/>
      <c r="AE28" s="89"/>
      <c r="AF28" s="89"/>
      <c r="AG28" s="89"/>
    </row>
    <row r="29" spans="1:33" s="1" customFormat="1" ht="20.25" customHeight="1" thickBot="1">
      <c r="A29" s="374"/>
      <c r="B29" s="375"/>
      <c r="C29" s="375"/>
      <c r="D29" s="376"/>
      <c r="E29" s="81"/>
      <c r="F29" s="381"/>
      <c r="G29" s="382"/>
      <c r="H29" s="84">
        <f>F29-G29</f>
        <v>0</v>
      </c>
      <c r="I29" s="96">
        <f>H29*D29</f>
        <v>0</v>
      </c>
      <c r="J29" s="89"/>
      <c r="K29" s="437"/>
      <c r="L29" s="437"/>
      <c r="M29" s="437"/>
      <c r="N29"/>
      <c r="O29" s="385"/>
      <c r="P29" s="100">
        <f>O29*$D29</f>
        <v>0</v>
      </c>
      <c r="Q29" s="81"/>
      <c r="R29"/>
      <c r="S29"/>
      <c r="T29"/>
      <c r="U29"/>
      <c r="V29" s="32"/>
      <c r="W29" s="168"/>
      <c r="X29" s="168"/>
      <c r="Y29" s="32"/>
      <c r="Z29" s="32"/>
      <c r="AA29" s="32"/>
      <c r="AB29" s="32"/>
      <c r="AC29" s="32"/>
      <c r="AD29" s="89"/>
      <c r="AE29" s="89"/>
      <c r="AF29" s="89"/>
      <c r="AG29" s="89"/>
    </row>
    <row r="30" spans="1:33" s="1" customFormat="1" ht="30" customHeight="1" thickBot="1">
      <c r="B30" s="447" t="s">
        <v>24</v>
      </c>
      <c r="C30" s="448"/>
      <c r="D30" s="77">
        <f>SUM(D25:D29)</f>
        <v>0</v>
      </c>
      <c r="E30" s="81"/>
      <c r="F30" s="440" t="s">
        <v>25</v>
      </c>
      <c r="G30" s="441"/>
      <c r="H30" s="79">
        <f>SUM(H25:H29)</f>
        <v>0</v>
      </c>
      <c r="I30" s="79">
        <f>SUM(I25:I29)</f>
        <v>0</v>
      </c>
      <c r="J30" s="89"/>
      <c r="K30" s="80"/>
      <c r="L30" s="80"/>
      <c r="M30" s="80"/>
      <c r="N30" s="89"/>
      <c r="O30" s="105" t="s">
        <v>26</v>
      </c>
      <c r="P30" s="101">
        <f>SUM(P25:P29)</f>
        <v>0</v>
      </c>
      <c r="Q30" s="81"/>
      <c r="R30" s="171"/>
      <c r="S30" s="171"/>
      <c r="T30" s="171"/>
      <c r="U30" s="171"/>
      <c r="V30" s="89"/>
      <c r="W30" s="89"/>
      <c r="X30" s="89"/>
      <c r="Y30" s="89"/>
      <c r="Z30" s="89"/>
      <c r="AA30" s="32"/>
      <c r="AB30" s="32"/>
      <c r="AC30" s="89"/>
      <c r="AD30" s="89"/>
      <c r="AE30" s="89"/>
      <c r="AF30" s="89"/>
      <c r="AG30" s="89"/>
    </row>
    <row r="31" spans="1:33" s="1" customFormat="1" ht="12" customHeight="1" thickBot="1">
      <c r="B31" s="349"/>
      <c r="C31" s="2"/>
      <c r="D31" s="46"/>
      <c r="E31" s="90"/>
      <c r="F31" s="46"/>
      <c r="G31" s="46"/>
      <c r="H31" s="46"/>
      <c r="I31" s="46"/>
      <c r="J31" s="90"/>
      <c r="K31"/>
      <c r="L31"/>
      <c r="M31"/>
      <c r="N31"/>
      <c r="O31" s="2"/>
      <c r="P31" s="136"/>
      <c r="Q31" s="90"/>
      <c r="R31" s="171"/>
      <c r="S31" s="171"/>
      <c r="T31" s="171"/>
      <c r="U31" s="171"/>
      <c r="V31"/>
      <c r="W31" s="103"/>
      <c r="X31" s="103"/>
      <c r="Y31"/>
      <c r="Z31"/>
      <c r="AA31"/>
      <c r="AB31"/>
      <c r="AC31"/>
    </row>
    <row r="32" spans="1:33" s="41" customFormat="1" ht="12" customHeight="1" thickTop="1" thickBot="1">
      <c r="A32" s="70"/>
      <c r="B32" s="282"/>
      <c r="C32" s="71"/>
      <c r="D32" s="72"/>
      <c r="E32" s="71"/>
      <c r="F32" s="72"/>
      <c r="G32" s="72"/>
      <c r="H32" s="72"/>
      <c r="I32" s="72"/>
      <c r="J32" s="71"/>
      <c r="K32" s="73"/>
      <c r="L32" s="73"/>
      <c r="M32" s="73"/>
      <c r="N32" s="106"/>
      <c r="O32" s="71"/>
      <c r="P32" s="137"/>
      <c r="Q32" s="107"/>
      <c r="R32" s="171"/>
      <c r="S32" s="171"/>
      <c r="T32" s="171"/>
      <c r="U32" s="171"/>
      <c r="V32"/>
      <c r="W32" s="103"/>
      <c r="X32" s="103"/>
      <c r="Y32"/>
      <c r="Z32"/>
      <c r="AA32"/>
      <c r="AB32"/>
      <c r="AC32"/>
    </row>
    <row r="33" spans="1:29" ht="42" customHeight="1" thickBot="1">
      <c r="A33" s="102"/>
      <c r="B33" s="158"/>
      <c r="C33" s="97" t="s">
        <v>29</v>
      </c>
      <c r="D33" s="139">
        <f>SUM(D14,D22,D30)</f>
        <v>0</v>
      </c>
      <c r="E33" s="74"/>
      <c r="F33" s="325"/>
      <c r="G33" s="325"/>
      <c r="H33" s="326" t="s">
        <v>30</v>
      </c>
      <c r="I33" s="327">
        <f>SUM(I14,I22,I30)*12</f>
        <v>0</v>
      </c>
      <c r="J33" s="74"/>
      <c r="K33" s="75"/>
      <c r="L33" s="75"/>
      <c r="M33" s="75"/>
      <c r="N33" s="75"/>
      <c r="O33" s="97" t="s">
        <v>31</v>
      </c>
      <c r="P33" s="138">
        <f>SUM(P14,P22,P30)</f>
        <v>0</v>
      </c>
      <c r="Q33" s="108"/>
      <c r="R33" s="171"/>
      <c r="S33" s="171"/>
      <c r="T33" s="171"/>
      <c r="U33" s="171"/>
    </row>
    <row r="34" spans="1:29" ht="12" customHeight="1" thickBot="1">
      <c r="A34" s="86"/>
      <c r="B34" s="87"/>
      <c r="C34" s="87"/>
      <c r="D34" s="87"/>
      <c r="E34" s="87"/>
      <c r="F34" s="87"/>
      <c r="G34" s="87"/>
      <c r="H34" s="87"/>
      <c r="I34" s="87"/>
      <c r="J34" s="87"/>
      <c r="K34" s="76"/>
      <c r="L34" s="76"/>
      <c r="M34" s="76"/>
      <c r="N34" s="76"/>
      <c r="O34" s="87"/>
      <c r="P34" s="87"/>
      <c r="Q34" s="109"/>
      <c r="R34" s="171"/>
      <c r="S34" s="171"/>
      <c r="T34" s="171"/>
      <c r="U34" s="171"/>
    </row>
    <row r="35" spans="1:29" s="32" customFormat="1" ht="6" customHeight="1" thickTop="1">
      <c r="B35" s="34"/>
      <c r="C35" s="34"/>
      <c r="D35" s="31"/>
      <c r="E35" s="31"/>
      <c r="F35" s="31"/>
      <c r="G35" s="31"/>
      <c r="H35" s="31"/>
      <c r="I35" s="31"/>
      <c r="J35" s="31"/>
      <c r="K35" s="31"/>
      <c r="L35" s="31"/>
      <c r="M35" s="31"/>
      <c r="N35" s="31"/>
      <c r="O35" s="31"/>
      <c r="P35" s="31"/>
      <c r="Q35" s="31"/>
      <c r="R35" s="31"/>
      <c r="S35" s="31"/>
      <c r="T35" s="31"/>
      <c r="U35" s="31"/>
      <c r="AA35"/>
      <c r="AB35"/>
      <c r="AC35"/>
    </row>
    <row r="36" spans="1:29" ht="6" customHeight="1">
      <c r="A36" s="35"/>
      <c r="B36" s="35"/>
      <c r="C36" s="35"/>
      <c r="D36" s="35"/>
      <c r="E36" s="35"/>
      <c r="F36" s="35"/>
      <c r="G36" s="35"/>
      <c r="H36" s="35"/>
      <c r="I36" s="35"/>
      <c r="J36" s="35"/>
      <c r="K36" s="35"/>
      <c r="L36" s="35"/>
      <c r="M36" s="35"/>
      <c r="N36" s="35"/>
      <c r="O36" s="35"/>
      <c r="P36" s="35"/>
      <c r="Q36" s="35"/>
      <c r="R36" s="35"/>
      <c r="S36" s="35"/>
      <c r="T36" s="35"/>
      <c r="U36" s="35"/>
      <c r="V36" s="35"/>
    </row>
    <row r="37" spans="1:29" ht="6" customHeight="1">
      <c r="B37" s="34"/>
      <c r="C37" s="34"/>
      <c r="D37" s="78"/>
      <c r="E37" s="31"/>
      <c r="F37" s="78"/>
      <c r="G37" s="78"/>
      <c r="H37" s="78"/>
      <c r="I37" s="78"/>
      <c r="J37" s="31"/>
      <c r="K37" s="78"/>
      <c r="L37" s="78"/>
      <c r="M37" s="78"/>
      <c r="N37" s="31"/>
      <c r="O37" s="78"/>
      <c r="P37" s="78"/>
      <c r="Q37" s="31"/>
      <c r="R37" s="31"/>
      <c r="S37" s="31"/>
      <c r="T37" s="31"/>
      <c r="U37" s="31"/>
    </row>
    <row r="38" spans="1:29" ht="33" customHeight="1">
      <c r="A38" s="152" t="s">
        <v>32</v>
      </c>
      <c r="C38" s="1"/>
      <c r="D38" s="1"/>
      <c r="E38"/>
      <c r="J38"/>
      <c r="N38"/>
      <c r="P38" s="103"/>
      <c r="Q38"/>
      <c r="U38"/>
      <c r="W38"/>
      <c r="X38"/>
    </row>
    <row r="39" spans="1:29" ht="20.25" customHeight="1" thickBot="1">
      <c r="A39" s="193" t="s">
        <v>33</v>
      </c>
      <c r="B39" s="151" t="s">
        <v>34</v>
      </c>
      <c r="C39" s="153" t="s">
        <v>35</v>
      </c>
      <c r="D39" s="153" t="s">
        <v>36</v>
      </c>
      <c r="E39" s="104"/>
      <c r="J39"/>
      <c r="N39"/>
      <c r="Q39"/>
      <c r="U39"/>
      <c r="W39"/>
      <c r="X39"/>
    </row>
    <row r="40" spans="1:29" s="1" customFormat="1" ht="20.25" customHeight="1">
      <c r="A40" s="429" t="s">
        <v>37</v>
      </c>
      <c r="B40" s="430"/>
      <c r="C40" s="390"/>
      <c r="D40" s="310" t="str">
        <f>IFERROR(C40/$D$33,"")</f>
        <v/>
      </c>
      <c r="H40"/>
      <c r="I40"/>
      <c r="J40"/>
      <c r="K40"/>
      <c r="L40"/>
      <c r="M40"/>
      <c r="N40"/>
      <c r="O40"/>
      <c r="P40"/>
      <c r="Q40"/>
      <c r="R40"/>
      <c r="W40"/>
      <c r="X40"/>
    </row>
    <row r="41" spans="1:29" s="1" customFormat="1" ht="20.25" customHeight="1">
      <c r="A41" s="429" t="s">
        <v>38</v>
      </c>
      <c r="B41" s="430"/>
      <c r="C41" s="391"/>
      <c r="D41" s="312" t="str">
        <f t="shared" ref="D41:D45" si="1">IFERROR(C41/$D$33,"")</f>
        <v/>
      </c>
      <c r="H41"/>
      <c r="I41"/>
      <c r="J41"/>
      <c r="K41"/>
      <c r="L41"/>
      <c r="M41"/>
      <c r="N41"/>
      <c r="O41"/>
      <c r="P41"/>
      <c r="Q41"/>
      <c r="R41"/>
      <c r="S41" s="103"/>
      <c r="T41"/>
      <c r="U41"/>
      <c r="V41"/>
      <c r="W41"/>
      <c r="X41"/>
    </row>
    <row r="42" spans="1:29" s="1" customFormat="1" ht="20.25" customHeight="1">
      <c r="A42" s="347" t="s">
        <v>39</v>
      </c>
      <c r="B42" s="392"/>
      <c r="C42" s="311">
        <f>SUM(C40:C41)*$B$42</f>
        <v>0</v>
      </c>
      <c r="D42" s="312" t="str">
        <f t="shared" si="1"/>
        <v/>
      </c>
      <c r="H42"/>
      <c r="I42"/>
      <c r="J42"/>
      <c r="K42"/>
      <c r="L42"/>
      <c r="M42"/>
      <c r="N42"/>
      <c r="O42"/>
      <c r="P42"/>
      <c r="Q42"/>
      <c r="R42"/>
      <c r="T42"/>
      <c r="U42"/>
      <c r="V42"/>
      <c r="W42"/>
      <c r="X42"/>
    </row>
    <row r="43" spans="1:29" s="1" customFormat="1" ht="20.25" customHeight="1">
      <c r="A43" s="347" t="s">
        <v>40</v>
      </c>
      <c r="B43" s="393"/>
      <c r="C43" s="311">
        <f>SUM(C40:C41)*$B$43</f>
        <v>0</v>
      </c>
      <c r="D43" s="312" t="str">
        <f t="shared" si="1"/>
        <v/>
      </c>
      <c r="H43"/>
      <c r="J43" s="32"/>
      <c r="K43" s="32"/>
      <c r="L43"/>
      <c r="M43"/>
      <c r="N43"/>
      <c r="O43"/>
      <c r="P43"/>
      <c r="Q43"/>
      <c r="R43"/>
      <c r="W43"/>
      <c r="X43"/>
    </row>
    <row r="44" spans="1:29" s="1" customFormat="1" ht="20.25" customHeight="1">
      <c r="A44" s="347" t="s">
        <v>41</v>
      </c>
      <c r="B44" s="394"/>
      <c r="C44" s="311">
        <f>ROUND(($I$33-($I$33*0.081))*$B$44,0)</f>
        <v>0</v>
      </c>
      <c r="D44" s="312" t="str">
        <f t="shared" si="1"/>
        <v/>
      </c>
      <c r="J44"/>
      <c r="K44"/>
      <c r="L44"/>
      <c r="M44"/>
      <c r="N44"/>
      <c r="O44"/>
      <c r="P44"/>
      <c r="Q44"/>
      <c r="R44"/>
      <c r="S44"/>
      <c r="T44"/>
      <c r="U44"/>
      <c r="V44"/>
      <c r="W44"/>
      <c r="Z44"/>
      <c r="AA44"/>
    </row>
    <row r="45" spans="1:29" s="1" customFormat="1" ht="20.25" customHeight="1">
      <c r="A45" s="347" t="s">
        <v>42</v>
      </c>
      <c r="B45" s="348"/>
      <c r="C45" s="391"/>
      <c r="D45" s="312" t="str">
        <f t="shared" si="1"/>
        <v/>
      </c>
      <c r="H45"/>
      <c r="I45"/>
      <c r="J45"/>
      <c r="K45"/>
      <c r="L45"/>
      <c r="M45"/>
      <c r="N45"/>
      <c r="O45"/>
      <c r="P45"/>
      <c r="Q45"/>
      <c r="R45"/>
      <c r="S45" s="103"/>
      <c r="T45"/>
      <c r="U45"/>
      <c r="V45"/>
      <c r="W45"/>
      <c r="X45"/>
    </row>
    <row r="46" spans="1:29" s="1" customFormat="1" ht="20.25" customHeight="1">
      <c r="A46" s="429" t="s">
        <v>43</v>
      </c>
      <c r="B46" s="430"/>
      <c r="C46" s="395"/>
      <c r="D46" s="313" t="str">
        <f t="shared" ref="D46:D53" si="2">IFERROR(C46/$D$33,"")</f>
        <v/>
      </c>
      <c r="J46"/>
      <c r="K46"/>
      <c r="L46"/>
      <c r="M46"/>
      <c r="N46"/>
      <c r="O46"/>
      <c r="P46"/>
      <c r="Q46"/>
      <c r="R46"/>
      <c r="S46"/>
      <c r="T46"/>
      <c r="U46"/>
      <c r="V46"/>
      <c r="W46"/>
      <c r="Z46"/>
      <c r="AA46"/>
    </row>
    <row r="47" spans="1:29" s="1" customFormat="1" ht="20.25" customHeight="1">
      <c r="A47" s="429" t="s">
        <v>44</v>
      </c>
      <c r="B47" s="430"/>
      <c r="C47" s="391"/>
      <c r="D47" s="312" t="str">
        <f>IFERROR(C47/$D$33,"")</f>
        <v/>
      </c>
      <c r="J47"/>
      <c r="K47"/>
      <c r="L47"/>
      <c r="M47"/>
      <c r="N47"/>
      <c r="O47"/>
      <c r="P47"/>
      <c r="Q47"/>
      <c r="R47"/>
      <c r="S47"/>
      <c r="T47"/>
      <c r="U47"/>
      <c r="V47"/>
      <c r="W47"/>
      <c r="Z47"/>
      <c r="AA47"/>
    </row>
    <row r="48" spans="1:29" s="1" customFormat="1" ht="20.25" customHeight="1">
      <c r="A48" s="429" t="s">
        <v>45</v>
      </c>
      <c r="B48" s="430"/>
      <c r="C48" s="391"/>
      <c r="D48" s="312" t="str">
        <f>IFERROR(C48/$D$33,"")</f>
        <v/>
      </c>
      <c r="J48"/>
      <c r="K48"/>
      <c r="L48"/>
      <c r="M48"/>
      <c r="N48"/>
      <c r="O48"/>
      <c r="P48"/>
      <c r="Q48"/>
      <c r="R48"/>
      <c r="S48"/>
      <c r="T48"/>
      <c r="Z48"/>
      <c r="AA48"/>
    </row>
    <row r="49" spans="1:28" s="1" customFormat="1" ht="20.25" customHeight="1">
      <c r="A49" s="429" t="s">
        <v>46</v>
      </c>
      <c r="B49" s="430"/>
      <c r="C49" s="391"/>
      <c r="D49" s="312" t="str">
        <f t="shared" si="2"/>
        <v/>
      </c>
      <c r="J49"/>
      <c r="K49"/>
      <c r="L49"/>
      <c r="M49"/>
      <c r="N49"/>
      <c r="O49"/>
      <c r="P49"/>
      <c r="Q49"/>
      <c r="R49"/>
      <c r="S49"/>
      <c r="T49"/>
      <c r="U49"/>
      <c r="V49"/>
      <c r="W49"/>
      <c r="Z49"/>
      <c r="AA49"/>
    </row>
    <row r="50" spans="1:28" s="1" customFormat="1" ht="20.25" customHeight="1">
      <c r="A50" s="429" t="s">
        <v>47</v>
      </c>
      <c r="B50" s="430"/>
      <c r="C50" s="391"/>
      <c r="D50" s="312" t="str">
        <f t="shared" si="2"/>
        <v/>
      </c>
      <c r="J50"/>
      <c r="K50"/>
      <c r="L50"/>
      <c r="M50"/>
      <c r="N50"/>
      <c r="O50"/>
      <c r="P50"/>
      <c r="Q50"/>
      <c r="R50"/>
      <c r="S50"/>
      <c r="T50"/>
      <c r="U50"/>
      <c r="V50"/>
      <c r="W50"/>
      <c r="Z50"/>
      <c r="AA50"/>
    </row>
    <row r="51" spans="1:28" s="1" customFormat="1" ht="20.25" customHeight="1">
      <c r="A51" s="429" t="s">
        <v>48</v>
      </c>
      <c r="B51" s="430"/>
      <c r="C51" s="391"/>
      <c r="D51" s="312" t="str">
        <f t="shared" si="2"/>
        <v/>
      </c>
      <c r="J51"/>
      <c r="K51"/>
      <c r="L51"/>
      <c r="M51"/>
      <c r="N51"/>
      <c r="O51"/>
      <c r="P51"/>
      <c r="Q51"/>
      <c r="R51"/>
      <c r="S51"/>
      <c r="T51"/>
      <c r="AA51"/>
      <c r="AB51"/>
    </row>
    <row r="52" spans="1:28" ht="20.25" customHeight="1">
      <c r="A52" s="429" t="s">
        <v>49</v>
      </c>
      <c r="B52" s="430"/>
      <c r="C52" s="391"/>
      <c r="D52" s="312" t="str">
        <f t="shared" si="2"/>
        <v/>
      </c>
      <c r="E52" s="1"/>
      <c r="J52"/>
      <c r="N52"/>
      <c r="Q52"/>
      <c r="S52" s="103"/>
      <c r="T52" s="103"/>
      <c r="U52"/>
      <c r="W52"/>
      <c r="X52"/>
    </row>
    <row r="53" spans="1:28" ht="20.25" customHeight="1" thickBot="1">
      <c r="A53" s="429" t="s">
        <v>50</v>
      </c>
      <c r="B53" s="430"/>
      <c r="C53" s="396"/>
      <c r="D53" s="314" t="str">
        <f t="shared" si="2"/>
        <v/>
      </c>
      <c r="E53" s="1"/>
      <c r="J53"/>
      <c r="N53"/>
      <c r="Q53"/>
      <c r="S53" s="103"/>
      <c r="U53"/>
      <c r="W53"/>
      <c r="X53"/>
    </row>
    <row r="54" spans="1:28" s="1" customFormat="1" ht="30" customHeight="1" thickBot="1">
      <c r="A54" s="438" t="str">
        <f>CONCATENATE("TOTAL ",A39,":")</f>
        <v>TOTAL ADMINISTRATIVE:</v>
      </c>
      <c r="B54" s="439"/>
      <c r="C54" s="315">
        <f>SUM(C40:C53)</f>
        <v>0</v>
      </c>
      <c r="D54" s="316">
        <f>SUM(D40:D53)</f>
        <v>0</v>
      </c>
      <c r="H54"/>
      <c r="I54"/>
      <c r="J54"/>
      <c r="K54"/>
      <c r="L54"/>
      <c r="M54"/>
      <c r="N54"/>
      <c r="O54"/>
      <c r="P54"/>
      <c r="Q54"/>
      <c r="R54"/>
      <c r="W54"/>
      <c r="X54"/>
    </row>
    <row r="55" spans="1:28" ht="20.25" customHeight="1" thickBot="1">
      <c r="A55" s="2" t="s">
        <v>51</v>
      </c>
      <c r="C55" s="154"/>
      <c r="D55" s="32"/>
      <c r="E55"/>
      <c r="J55"/>
      <c r="N55"/>
      <c r="Q55"/>
      <c r="S55" s="103"/>
      <c r="T55" s="103"/>
      <c r="U55"/>
      <c r="W55"/>
      <c r="X55"/>
    </row>
    <row r="56" spans="1:28" ht="20.25" customHeight="1">
      <c r="A56" s="429" t="s">
        <v>52</v>
      </c>
      <c r="B56" s="430"/>
      <c r="C56" s="390"/>
      <c r="D56" s="310" t="str">
        <f t="shared" ref="D56:D63" si="3">IFERROR(C56/$D$33,"")</f>
        <v/>
      </c>
      <c r="E56" s="1"/>
      <c r="J56"/>
      <c r="N56"/>
      <c r="Q56"/>
    </row>
    <row r="57" spans="1:28" ht="20.25" customHeight="1">
      <c r="A57" s="429" t="s">
        <v>53</v>
      </c>
      <c r="B57" s="430"/>
      <c r="C57" s="391"/>
      <c r="D57" s="312" t="str">
        <f t="shared" si="3"/>
        <v/>
      </c>
      <c r="E57" s="89"/>
      <c r="J57"/>
      <c r="N57"/>
      <c r="Q57"/>
    </row>
    <row r="58" spans="1:28" ht="20.25" customHeight="1">
      <c r="A58" s="429" t="s">
        <v>54</v>
      </c>
      <c r="B58" s="430"/>
      <c r="C58" s="391"/>
      <c r="D58" s="312" t="str">
        <f t="shared" si="3"/>
        <v/>
      </c>
      <c r="E58" s="89"/>
      <c r="J58"/>
      <c r="N58"/>
      <c r="Q58"/>
    </row>
    <row r="59" spans="1:28" ht="20.25" customHeight="1">
      <c r="A59" s="429" t="s">
        <v>55</v>
      </c>
      <c r="B59" s="430"/>
      <c r="C59" s="391"/>
      <c r="D59" s="312" t="str">
        <f t="shared" si="3"/>
        <v/>
      </c>
      <c r="E59" s="89"/>
      <c r="J59"/>
      <c r="N59"/>
      <c r="Q59"/>
    </row>
    <row r="60" spans="1:28" ht="20.25" customHeight="1">
      <c r="A60" s="429" t="s">
        <v>56</v>
      </c>
      <c r="B60" s="430"/>
      <c r="C60" s="391"/>
      <c r="D60" s="312" t="str">
        <f t="shared" si="3"/>
        <v/>
      </c>
      <c r="E60" s="89"/>
      <c r="N60"/>
      <c r="Q60"/>
    </row>
    <row r="61" spans="1:28" ht="20.25" customHeight="1">
      <c r="A61" s="429" t="s">
        <v>57</v>
      </c>
      <c r="B61" s="430"/>
      <c r="C61" s="391"/>
      <c r="D61" s="312" t="str">
        <f t="shared" si="3"/>
        <v/>
      </c>
      <c r="E61" s="89"/>
      <c r="N61"/>
      <c r="Q61"/>
    </row>
    <row r="62" spans="1:28" ht="20.25" customHeight="1">
      <c r="A62" s="429" t="s">
        <v>58</v>
      </c>
      <c r="B62" s="430"/>
      <c r="C62" s="391"/>
      <c r="D62" s="312" t="str">
        <f t="shared" si="3"/>
        <v/>
      </c>
      <c r="E62" s="89"/>
      <c r="N62"/>
      <c r="Q62"/>
    </row>
    <row r="63" spans="1:28" ht="20.25" customHeight="1" thickBot="1">
      <c r="A63" s="429" t="s">
        <v>50</v>
      </c>
      <c r="B63" s="430"/>
      <c r="C63" s="397"/>
      <c r="D63" s="317" t="str">
        <f t="shared" si="3"/>
        <v/>
      </c>
      <c r="E63" s="89"/>
    </row>
    <row r="64" spans="1:28" ht="30" customHeight="1" thickBot="1">
      <c r="A64" s="438" t="str">
        <f>CONCATENATE("TOTAL ",A55,":")</f>
        <v>TOTAL MAINTENANCE:</v>
      </c>
      <c r="B64" s="439"/>
      <c r="C64" s="318">
        <f>SUM(C56:C63)</f>
        <v>0</v>
      </c>
      <c r="D64" s="319">
        <f>SUM(D56:D63)</f>
        <v>0</v>
      </c>
      <c r="E64" s="89"/>
    </row>
    <row r="65" spans="1:29" s="1" customFormat="1" ht="20.25" customHeight="1" thickBot="1">
      <c r="A65" s="2" t="s">
        <v>59</v>
      </c>
      <c r="B65"/>
      <c r="C65" s="154"/>
      <c r="D65" s="32"/>
      <c r="E65" s="104"/>
      <c r="H65" s="2"/>
      <c r="I65" s="2"/>
      <c r="J65" s="90"/>
      <c r="K65"/>
      <c r="L65"/>
      <c r="M65"/>
      <c r="N65" s="32"/>
      <c r="O65"/>
      <c r="P65"/>
      <c r="Q65" s="104"/>
      <c r="R65"/>
      <c r="S65"/>
      <c r="T65"/>
      <c r="U65" s="89"/>
      <c r="V65"/>
      <c r="W65"/>
      <c r="X65"/>
      <c r="Y65"/>
      <c r="Z65"/>
      <c r="AA65"/>
      <c r="AB65"/>
      <c r="AC65"/>
    </row>
    <row r="66" spans="1:29" ht="20.25" customHeight="1">
      <c r="A66" s="429" t="s">
        <v>60</v>
      </c>
      <c r="B66" s="430"/>
      <c r="C66" s="390"/>
      <c r="D66" s="310" t="str">
        <f t="shared" ref="D66:D74" si="4">IFERROR(C66/$D$33,"")</f>
        <v/>
      </c>
    </row>
    <row r="67" spans="1:29" ht="20.25" customHeight="1">
      <c r="A67" s="429" t="s">
        <v>61</v>
      </c>
      <c r="B67" s="430"/>
      <c r="C67" s="391"/>
      <c r="D67" s="312" t="str">
        <f t="shared" si="4"/>
        <v/>
      </c>
      <c r="E67" s="89"/>
    </row>
    <row r="68" spans="1:29" ht="20.25" customHeight="1">
      <c r="A68" s="429" t="s">
        <v>62</v>
      </c>
      <c r="B68" s="430"/>
      <c r="C68" s="391"/>
      <c r="D68" s="312" t="str">
        <f t="shared" si="4"/>
        <v/>
      </c>
      <c r="E68" s="89"/>
    </row>
    <row r="69" spans="1:29" ht="20.25" customHeight="1">
      <c r="A69" s="429" t="s">
        <v>63</v>
      </c>
      <c r="B69" s="430"/>
      <c r="C69" s="391"/>
      <c r="D69" s="312" t="str">
        <f t="shared" si="4"/>
        <v/>
      </c>
      <c r="E69" s="89"/>
    </row>
    <row r="70" spans="1:29" s="1" customFormat="1" ht="20.25" customHeight="1">
      <c r="A70" s="429" t="s">
        <v>64</v>
      </c>
      <c r="B70" s="430"/>
      <c r="C70" s="391"/>
      <c r="D70" s="312" t="str">
        <f>IFERROR(C70/$D$33,"")</f>
        <v/>
      </c>
      <c r="E70" s="104"/>
      <c r="H70" s="2"/>
      <c r="I70" s="2"/>
      <c r="J70" s="90"/>
      <c r="K70"/>
      <c r="L70"/>
      <c r="M70"/>
      <c r="N70" s="32"/>
      <c r="O70"/>
      <c r="P70"/>
      <c r="Q70" s="104"/>
      <c r="R70"/>
      <c r="S70"/>
      <c r="T70"/>
      <c r="U70" s="89"/>
      <c r="V70"/>
      <c r="W70"/>
      <c r="X70"/>
      <c r="Y70"/>
      <c r="Z70"/>
      <c r="AA70"/>
      <c r="AB70"/>
      <c r="AC70"/>
    </row>
    <row r="71" spans="1:29" ht="20.25" customHeight="1">
      <c r="A71" s="429" t="s">
        <v>65</v>
      </c>
      <c r="B71" s="430"/>
      <c r="C71" s="391"/>
      <c r="D71" s="312" t="str">
        <f t="shared" si="4"/>
        <v/>
      </c>
    </row>
    <row r="72" spans="1:29" ht="20.25" customHeight="1">
      <c r="A72" s="429" t="s">
        <v>66</v>
      </c>
      <c r="B72" s="430"/>
      <c r="C72" s="391"/>
      <c r="D72" s="312" t="str">
        <f>IFERROR(C72/$D$33,"")</f>
        <v/>
      </c>
      <c r="E72" s="89"/>
      <c r="N72"/>
      <c r="O72" s="2"/>
      <c r="P72" s="136"/>
    </row>
    <row r="73" spans="1:29" ht="20.25" customHeight="1">
      <c r="A73" s="429" t="s">
        <v>67</v>
      </c>
      <c r="B73" s="430"/>
      <c r="C73" s="391"/>
      <c r="D73" s="312" t="str">
        <f t="shared" si="4"/>
        <v/>
      </c>
      <c r="E73" s="89"/>
      <c r="N73"/>
      <c r="O73" s="2"/>
      <c r="P73" s="136"/>
    </row>
    <row r="74" spans="1:29" ht="20.25" customHeight="1" thickBot="1">
      <c r="A74" s="429" t="s">
        <v>50</v>
      </c>
      <c r="B74" s="430"/>
      <c r="C74" s="397"/>
      <c r="D74" s="317" t="str">
        <f t="shared" si="4"/>
        <v/>
      </c>
      <c r="E74" s="89"/>
    </row>
    <row r="75" spans="1:29" ht="30" customHeight="1" thickBot="1">
      <c r="A75" s="438" t="str">
        <f>CONCATENATE("TOTAL ",A65,":")</f>
        <v>TOTAL OPERATING:</v>
      </c>
      <c r="B75" s="439"/>
      <c r="C75" s="318">
        <f>SUM(C66:C74)</f>
        <v>0</v>
      </c>
      <c r="D75" s="319">
        <f>SUM(D66:D74)</f>
        <v>0</v>
      </c>
      <c r="E75" s="89"/>
    </row>
    <row r="76" spans="1:29" ht="20.25" customHeight="1" thickBot="1">
      <c r="A76" s="2" t="s">
        <v>68</v>
      </c>
      <c r="C76" s="154"/>
      <c r="D76" s="32"/>
    </row>
    <row r="77" spans="1:29" s="1" customFormat="1" ht="20.25" customHeight="1">
      <c r="A77" s="429" t="s">
        <v>69</v>
      </c>
      <c r="B77" s="430"/>
      <c r="C77" s="390"/>
      <c r="D77" s="310" t="str">
        <f>IFERROR(C77/$D$33,"")</f>
        <v/>
      </c>
      <c r="F77"/>
      <c r="G77"/>
      <c r="H77" s="89"/>
      <c r="J77"/>
      <c r="K77"/>
      <c r="L77" s="32"/>
      <c r="M77"/>
      <c r="N77"/>
      <c r="O77" s="89"/>
      <c r="S77" s="89"/>
      <c r="U77" s="156"/>
      <c r="V77" s="156"/>
    </row>
    <row r="78" spans="1:29" ht="20.25" customHeight="1">
      <c r="A78" s="429" t="s">
        <v>70</v>
      </c>
      <c r="B78" s="430"/>
      <c r="C78" s="391"/>
      <c r="D78" s="312" t="str">
        <f>IFERROR(C78/$D$33,"")</f>
        <v/>
      </c>
    </row>
    <row r="79" spans="1:29" ht="20.25" customHeight="1" thickBot="1">
      <c r="A79" s="429" t="s">
        <v>71</v>
      </c>
      <c r="B79" s="430"/>
      <c r="C79" s="397"/>
      <c r="D79" s="317" t="str">
        <f>IFERROR(C79/$D$33,"")</f>
        <v/>
      </c>
      <c r="L79" s="1"/>
      <c r="M79" s="1"/>
      <c r="N79" s="89"/>
      <c r="O79" s="1"/>
      <c r="P79" s="1"/>
    </row>
    <row r="80" spans="1:29" ht="30.75" customHeight="1" thickBot="1">
      <c r="A80" s="438" t="str">
        <f>CONCATENATE("TOTAL ",A76,":")</f>
        <v>TOTAL TAXES &amp; INSURANCE:</v>
      </c>
      <c r="B80" s="439"/>
      <c r="C80" s="318">
        <f>SUM(C77:C79)</f>
        <v>0</v>
      </c>
      <c r="D80" s="319">
        <f>SUM(D77:D79)</f>
        <v>0</v>
      </c>
    </row>
    <row r="81" spans="1:24" ht="20.25" customHeight="1" thickBot="1">
      <c r="A81" s="2" t="s">
        <v>72</v>
      </c>
      <c r="C81" s="154"/>
      <c r="D81" s="32"/>
      <c r="H81" s="32"/>
      <c r="J81"/>
      <c r="L81" s="32"/>
      <c r="N81"/>
      <c r="O81" s="32"/>
      <c r="Q81"/>
      <c r="S81" s="32"/>
      <c r="U81" s="103"/>
      <c r="V81" s="103"/>
      <c r="W81"/>
      <c r="X81"/>
    </row>
    <row r="82" spans="1:24" ht="20.25" customHeight="1">
      <c r="A82" s="429" t="s">
        <v>73</v>
      </c>
      <c r="B82" s="430"/>
      <c r="C82" s="320">
        <f>IFERROR(D82*$D$33,0)</f>
        <v>0</v>
      </c>
      <c r="D82" s="321" t="str">
        <f>IF($D$33&gt;0,350,"")</f>
        <v/>
      </c>
      <c r="H82" s="32"/>
      <c r="J82"/>
      <c r="L82" s="32"/>
      <c r="N82"/>
      <c r="O82" s="32"/>
      <c r="Q82"/>
      <c r="S82" s="32"/>
      <c r="U82" s="103"/>
      <c r="V82" s="103"/>
      <c r="W82"/>
      <c r="X82"/>
    </row>
    <row r="83" spans="1:24" ht="30" customHeight="1" thickBot="1">
      <c r="A83" s="438" t="str">
        <f>CONCATENATE("TOTAL ",A81,":")</f>
        <v>TOTAL RESERVES:</v>
      </c>
      <c r="B83" s="439"/>
      <c r="C83" s="318">
        <f>SUM(C82:C82)</f>
        <v>0</v>
      </c>
      <c r="D83" s="361">
        <f>SUM(D82:D82)</f>
        <v>0</v>
      </c>
      <c r="H83" s="32"/>
      <c r="J83"/>
      <c r="L83" s="32"/>
      <c r="N83"/>
      <c r="O83" s="32"/>
      <c r="Q83"/>
      <c r="S83" s="32"/>
      <c r="U83" s="103"/>
      <c r="V83" s="103"/>
      <c r="W83"/>
      <c r="X83"/>
    </row>
    <row r="84" spans="1:24" ht="15.75" thickBot="1"/>
    <row r="85" spans="1:24" ht="16.5" thickTop="1" thickBot="1">
      <c r="A85" s="70"/>
      <c r="B85" s="71"/>
      <c r="C85" s="72"/>
      <c r="D85" s="72"/>
      <c r="E85" s="157"/>
    </row>
    <row r="86" spans="1:24" ht="30.75" thickBot="1">
      <c r="A86" s="102"/>
      <c r="B86" s="97" t="s">
        <v>75</v>
      </c>
      <c r="C86" s="322">
        <f>SUM(C54,C64,C75,C80,C83)</f>
        <v>0</v>
      </c>
      <c r="D86" s="322">
        <f>SUM(D54,D64,D75,D80,D83)</f>
        <v>0</v>
      </c>
      <c r="E86" s="108"/>
    </row>
    <row r="87" spans="1:24" ht="15.75" thickBot="1">
      <c r="A87" s="86"/>
      <c r="B87" s="87"/>
      <c r="C87" s="87"/>
      <c r="D87" s="87"/>
      <c r="E87" s="109"/>
    </row>
    <row r="88" spans="1:24" ht="15.75" thickTop="1"/>
    <row r="89" spans="1:24" hidden="1"/>
    <row r="90" spans="1:24" hidden="1">
      <c r="A90" s="362" t="s">
        <v>74</v>
      </c>
      <c r="B90" s="250"/>
      <c r="C90" s="363"/>
      <c r="D90" s="32"/>
    </row>
    <row r="91" spans="1:24" ht="15.75" hidden="1" thickBot="1">
      <c r="A91" s="362"/>
      <c r="B91" s="250"/>
      <c r="C91" s="363"/>
      <c r="D91" s="32"/>
    </row>
    <row r="92" spans="1:24" hidden="1">
      <c r="A92" s="442" t="s">
        <v>351</v>
      </c>
      <c r="B92" s="443"/>
      <c r="C92" s="364">
        <f>SUM(D54,D64,D75,D80)*D14</f>
        <v>0</v>
      </c>
      <c r="D92" s="359"/>
    </row>
    <row r="93" spans="1:24" ht="15.75" hidden="1" thickBot="1">
      <c r="A93" s="442" t="s">
        <v>352</v>
      </c>
      <c r="B93" s="443"/>
      <c r="C93" s="365">
        <f>I14*12</f>
        <v>0</v>
      </c>
      <c r="D93" s="360"/>
    </row>
    <row r="94" spans="1:24" ht="15.75" hidden="1" thickBot="1">
      <c r="A94" s="444" t="s">
        <v>354</v>
      </c>
      <c r="B94" s="445"/>
      <c r="C94" s="366">
        <f>C92-C93</f>
        <v>0</v>
      </c>
      <c r="D94" s="359"/>
    </row>
    <row r="95" spans="1:24" ht="15.75" hidden="1" thickBot="1">
      <c r="A95" s="444" t="s">
        <v>353</v>
      </c>
      <c r="B95" s="445"/>
      <c r="C95" s="367">
        <f>C94*15</f>
        <v>0</v>
      </c>
    </row>
  </sheetData>
  <sheetProtection algorithmName="SHA-512" hashValue="CO9kFKA467j4x/9mICS4wWJQ06IisfrG+iNbxXmkMDXU8+Xjd0FvCY/gpez7gcDfn+I/C1uLEltuDkHYeqJVMw==" saltValue="GN7S0bd6VaGj5MiJJyhvng==" spinCount="100000" sheet="1" objects="1" scenarios="1"/>
  <mergeCells count="60">
    <mergeCell ref="A6:D6"/>
    <mergeCell ref="A53:B53"/>
    <mergeCell ref="A52:B52"/>
    <mergeCell ref="A51:B51"/>
    <mergeCell ref="A48:B48"/>
    <mergeCell ref="A50:B50"/>
    <mergeCell ref="B30:C30"/>
    <mergeCell ref="B14:C14"/>
    <mergeCell ref="B22:C22"/>
    <mergeCell ref="A60:B60"/>
    <mergeCell ref="A92:B92"/>
    <mergeCell ref="A93:B93"/>
    <mergeCell ref="A94:B94"/>
    <mergeCell ref="A95:B95"/>
    <mergeCell ref="A83:B83"/>
    <mergeCell ref="A82:B82"/>
    <mergeCell ref="A79:B79"/>
    <mergeCell ref="A67:B67"/>
    <mergeCell ref="A66:B66"/>
    <mergeCell ref="A63:B63"/>
    <mergeCell ref="A62:B62"/>
    <mergeCell ref="A61:B61"/>
    <mergeCell ref="A64:B64"/>
    <mergeCell ref="A75:B75"/>
    <mergeCell ref="A71:B71"/>
    <mergeCell ref="A70:B70"/>
    <mergeCell ref="A69:B69"/>
    <mergeCell ref="A68:B68"/>
    <mergeCell ref="A80:B80"/>
    <mergeCell ref="R12:T12"/>
    <mergeCell ref="A78:B78"/>
    <mergeCell ref="A77:B77"/>
    <mergeCell ref="A74:B74"/>
    <mergeCell ref="A73:B73"/>
    <mergeCell ref="A72:B72"/>
    <mergeCell ref="A58:B58"/>
    <mergeCell ref="A57:B57"/>
    <mergeCell ref="A56:B56"/>
    <mergeCell ref="A41:B41"/>
    <mergeCell ref="A40:B40"/>
    <mergeCell ref="A49:B49"/>
    <mergeCell ref="A47:B47"/>
    <mergeCell ref="A46:B46"/>
    <mergeCell ref="F30:G30"/>
    <mergeCell ref="A59:B59"/>
    <mergeCell ref="R13:T13"/>
    <mergeCell ref="R11:T11"/>
    <mergeCell ref="R10:T10"/>
    <mergeCell ref="K25:M29"/>
    <mergeCell ref="K9:M13"/>
    <mergeCell ref="A54:B54"/>
    <mergeCell ref="F14:G14"/>
    <mergeCell ref="F22:G22"/>
    <mergeCell ref="R9:T9"/>
    <mergeCell ref="R14:T14"/>
    <mergeCell ref="F6:I6"/>
    <mergeCell ref="K6:M6"/>
    <mergeCell ref="O6:P6"/>
    <mergeCell ref="R7:U7"/>
    <mergeCell ref="R8:S8"/>
  </mergeCells>
  <phoneticPr fontId="19" type="noConversion"/>
  <conditionalFormatting sqref="B9:D13 B17:D21 F9:G13 F17:G21 C66:C74 C40:C45 C47:C53 B40:B44">
    <cfRule type="containsBlanks" dxfId="20" priority="40">
      <formula>LEN(TRIM(B9))=0</formula>
    </cfRule>
  </conditionalFormatting>
  <conditionalFormatting sqref="B25:D29 F25:G29">
    <cfRule type="containsBlanks" dxfId="19" priority="29">
      <formula>LEN(TRIM(B25))=0</formula>
    </cfRule>
  </conditionalFormatting>
  <conditionalFormatting sqref="K17:K21">
    <cfRule type="containsBlanks" dxfId="18" priority="28">
      <formula>LEN(TRIM(K17))=0</formula>
    </cfRule>
  </conditionalFormatting>
  <conditionalFormatting sqref="O17:P21 O9:P13">
    <cfRule type="containsBlanks" dxfId="17" priority="22">
      <formula>LEN(TRIM(O9))=0</formula>
    </cfRule>
  </conditionalFormatting>
  <conditionalFormatting sqref="O25:P29">
    <cfRule type="containsBlanks" dxfId="16" priority="21">
      <formula>LEN(TRIM(O25))=0</formula>
    </cfRule>
  </conditionalFormatting>
  <conditionalFormatting sqref="M17:M21">
    <cfRule type="cellIs" dxfId="15" priority="18" operator="equal">
      <formula>"REVISE"</formula>
    </cfRule>
  </conditionalFormatting>
  <conditionalFormatting sqref="C46:C48 B44">
    <cfRule type="containsBlanks" dxfId="14" priority="12">
      <formula>LEN(TRIM(B44))=0</formula>
    </cfRule>
  </conditionalFormatting>
  <conditionalFormatting sqref="C56:C63 C77:C79">
    <cfRule type="containsBlanks" dxfId="13" priority="11">
      <formula>LEN(TRIM(C56))=0</formula>
    </cfRule>
  </conditionalFormatting>
  <conditionalFormatting sqref="A9:A13">
    <cfRule type="containsBlanks" dxfId="12" priority="6">
      <formula>LEN(TRIM(A9))=0</formula>
    </cfRule>
  </conditionalFormatting>
  <conditionalFormatting sqref="A17:A21">
    <cfRule type="containsBlanks" dxfId="11" priority="5">
      <formula>LEN(TRIM(A17))=0</formula>
    </cfRule>
  </conditionalFormatting>
  <conditionalFormatting sqref="A25:A29">
    <cfRule type="containsBlanks" dxfId="10" priority="4">
      <formula>LEN(TRIM(A25))=0</formula>
    </cfRule>
  </conditionalFormatting>
  <conditionalFormatting sqref="B9:D13 B17:D21 F9:G13 F17:G21 C66:C74 C40:C45 C47:C53 B40:B44">
    <cfRule type="containsBlanks" dxfId="9" priority="3">
      <formula>LEN(TRIM(B9))=0</formula>
    </cfRule>
  </conditionalFormatting>
  <conditionalFormatting sqref="C93">
    <cfRule type="containsBlanks" dxfId="8" priority="2">
      <formula>LEN(TRIM(C93))=0</formula>
    </cfRule>
  </conditionalFormatting>
  <conditionalFormatting sqref="C93">
    <cfRule type="containsBlanks" dxfId="7" priority="1">
      <formula>LEN(TRIM(C93))=0</formula>
    </cfRule>
  </conditionalFormatting>
  <dataValidations count="1">
    <dataValidation type="list" allowBlank="1" showInputMessage="1" showErrorMessage="1" sqref="K17:K21" xr:uid="{BBCA2D32-8F98-40AE-B084-19658403CA69}">
      <formula1>"50% AMI, 80% AMI"</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028A-9534-4A82-B553-EEA6BF630896}">
  <sheetPr codeName="Sheet4">
    <tabColor theme="8" tint="-0.249977111117893"/>
  </sheetPr>
  <dimension ref="A1:AL48"/>
  <sheetViews>
    <sheetView showGridLines="0" zoomScale="70" zoomScaleNormal="70" workbookViewId="0">
      <selection activeCell="F32" sqref="F32"/>
    </sheetView>
  </sheetViews>
  <sheetFormatPr defaultRowHeight="15"/>
  <cols>
    <col min="1" max="1" width="34.5703125" style="3" customWidth="1"/>
    <col min="2" max="2" width="14.7109375" style="3" customWidth="1"/>
    <col min="3" max="8" width="14.7109375" style="40" customWidth="1"/>
    <col min="9" max="38" width="14.5703125" style="3" customWidth="1"/>
    <col min="39" max="16384" width="9.140625" style="3"/>
  </cols>
  <sheetData>
    <row r="1" spans="1:38" s="4" customFormat="1" ht="31.5">
      <c r="A1" s="19" t="s">
        <v>76</v>
      </c>
      <c r="B1" s="197"/>
      <c r="C1" s="197"/>
      <c r="D1" s="197"/>
      <c r="E1" s="197"/>
      <c r="F1" s="197"/>
      <c r="G1" s="197"/>
      <c r="H1" s="19"/>
      <c r="I1" s="19"/>
      <c r="J1" s="19"/>
      <c r="K1" s="19"/>
      <c r="L1" s="19"/>
      <c r="M1" s="19"/>
      <c r="N1" s="19"/>
      <c r="O1" s="19"/>
      <c r="P1" s="19"/>
      <c r="Q1" s="19"/>
      <c r="R1" s="19"/>
      <c r="S1" s="19"/>
      <c r="T1" s="19"/>
      <c r="U1" s="78"/>
      <c r="V1" s="78"/>
      <c r="W1" s="78"/>
      <c r="X1" s="78"/>
      <c r="Y1" s="78"/>
      <c r="Z1" s="78"/>
      <c r="AA1" s="78"/>
      <c r="AB1" s="78"/>
      <c r="AC1" s="78"/>
      <c r="AD1" s="78"/>
      <c r="AE1" s="78"/>
      <c r="AF1" s="78"/>
      <c r="AG1" s="78"/>
      <c r="AH1" s="78"/>
      <c r="AI1" s="78"/>
      <c r="AJ1" s="78"/>
      <c r="AK1" s="78"/>
      <c r="AL1" s="78"/>
    </row>
    <row r="2" spans="1:38" ht="6" customHeight="1">
      <c r="A2" s="78"/>
      <c r="B2" s="78"/>
      <c r="C2" s="78"/>
      <c r="D2" s="78"/>
      <c r="E2" s="78"/>
      <c r="F2" s="78"/>
      <c r="G2" s="78"/>
      <c r="H2" s="3"/>
    </row>
    <row r="3" spans="1:38" ht="6"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row>
    <row r="4" spans="1:38" ht="6" customHeight="1" thickBot="1">
      <c r="A4" s="78"/>
      <c r="B4" s="78"/>
      <c r="C4" s="78"/>
      <c r="D4" s="78"/>
      <c r="E4" s="78"/>
      <c r="F4" s="78"/>
      <c r="G4" s="78"/>
      <c r="H4" s="78"/>
      <c r="I4" s="78"/>
      <c r="J4" s="78"/>
      <c r="K4" s="78"/>
      <c r="L4" s="78"/>
      <c r="M4" s="78"/>
      <c r="N4" s="78"/>
      <c r="O4" s="78"/>
      <c r="P4" s="78"/>
      <c r="Q4" s="78"/>
      <c r="R4" s="78"/>
    </row>
    <row r="5" spans="1:38" ht="27.75" customHeight="1" thickBot="1">
      <c r="A5" s="199" t="s">
        <v>77</v>
      </c>
      <c r="B5" s="200"/>
      <c r="C5" s="200"/>
      <c r="D5" s="200"/>
      <c r="E5" s="200"/>
      <c r="F5" s="200"/>
      <c r="G5" s="200"/>
      <c r="H5" s="200"/>
      <c r="I5" s="200"/>
      <c r="J5" s="200"/>
      <c r="K5" s="200"/>
      <c r="L5" s="200"/>
      <c r="M5" s="200"/>
      <c r="N5" s="200"/>
      <c r="O5" s="200"/>
      <c r="P5" s="200"/>
      <c r="Q5" s="200"/>
      <c r="R5" s="200"/>
      <c r="S5" s="200"/>
      <c r="T5" s="200"/>
      <c r="U5" s="200"/>
      <c r="V5" s="449" t="s">
        <v>78</v>
      </c>
      <c r="W5" s="449"/>
      <c r="X5" s="449" t="s">
        <v>79</v>
      </c>
      <c r="Y5" s="449"/>
    </row>
    <row r="6" spans="1:38" ht="35.25" customHeight="1" thickBot="1">
      <c r="A6" s="456" t="s">
        <v>80</v>
      </c>
      <c r="B6" s="457"/>
      <c r="C6" s="450" t="s">
        <v>81</v>
      </c>
      <c r="D6" s="451"/>
      <c r="E6" s="451"/>
      <c r="F6" s="452"/>
      <c r="G6" s="201" t="s">
        <v>82</v>
      </c>
      <c r="H6" s="352" t="s">
        <v>83</v>
      </c>
      <c r="I6" s="352" t="s">
        <v>84</v>
      </c>
      <c r="J6" s="352" t="s">
        <v>85</v>
      </c>
      <c r="K6" s="352" t="s">
        <v>86</v>
      </c>
      <c r="L6" s="352" t="s">
        <v>87</v>
      </c>
      <c r="M6" s="352" t="s">
        <v>88</v>
      </c>
      <c r="N6" s="458" t="s">
        <v>89</v>
      </c>
      <c r="O6" s="458"/>
      <c r="P6" s="458" t="s">
        <v>90</v>
      </c>
      <c r="Q6" s="459"/>
      <c r="R6" s="202" t="s">
        <v>91</v>
      </c>
      <c r="S6" s="203" t="s">
        <v>92</v>
      </c>
      <c r="T6" s="204" t="s">
        <v>93</v>
      </c>
      <c r="U6" s="264"/>
      <c r="V6" s="300" t="s">
        <v>94</v>
      </c>
      <c r="W6" s="301">
        <v>52</v>
      </c>
      <c r="X6" s="300" t="s">
        <v>95</v>
      </c>
      <c r="Y6" s="301">
        <v>0</v>
      </c>
    </row>
    <row r="7" spans="1:38" ht="27.75" customHeight="1">
      <c r="A7" s="298" t="s">
        <v>96</v>
      </c>
      <c r="B7" s="194"/>
      <c r="C7" s="463"/>
      <c r="D7" s="464"/>
      <c r="E7" s="464"/>
      <c r="F7" s="465"/>
      <c r="G7" s="229"/>
      <c r="H7" s="230"/>
      <c r="I7" s="294"/>
      <c r="J7" s="231"/>
      <c r="K7" s="294"/>
      <c r="L7" s="294"/>
      <c r="M7" s="230"/>
      <c r="N7" s="294"/>
      <c r="O7" s="294"/>
      <c r="P7" s="294"/>
      <c r="Q7" s="294"/>
      <c r="R7" s="295"/>
      <c r="S7" s="296">
        <f>IFERROR($G7*0.5*$H7/12*$J7,"")</f>
        <v>0</v>
      </c>
      <c r="T7" s="297">
        <f>IFERROR($G7*$M7,"")</f>
        <v>0</v>
      </c>
      <c r="U7" s="265"/>
      <c r="V7" s="300" t="s">
        <v>97</v>
      </c>
      <c r="W7" s="301">
        <v>12</v>
      </c>
      <c r="X7" s="300" t="s">
        <v>98</v>
      </c>
      <c r="Y7" s="301">
        <v>1</v>
      </c>
    </row>
    <row r="8" spans="1:38" ht="27.75" customHeight="1">
      <c r="A8" s="205" t="s">
        <v>99</v>
      </c>
      <c r="B8" s="286"/>
      <c r="C8" s="460"/>
      <c r="D8" s="461"/>
      <c r="E8" s="461"/>
      <c r="F8" s="462"/>
      <c r="G8" s="287"/>
      <c r="H8" s="288"/>
      <c r="I8" s="289"/>
      <c r="J8" s="289"/>
      <c r="K8" s="290"/>
      <c r="L8" s="290"/>
      <c r="M8" s="288"/>
      <c r="N8" s="288"/>
      <c r="O8" s="291" t="str">
        <f>IFERROR(VLOOKUP(N8,$V$6:$W$11,2,0),"")</f>
        <v/>
      </c>
      <c r="P8" s="292"/>
      <c r="Q8" s="293" t="str">
        <f>IFERROR(VLOOKUP(P8,$X$6:$Y$7,2,0),"")</f>
        <v/>
      </c>
      <c r="R8" s="233" t="str">
        <f>IFERROR(-PMT($H8,$I8,$G8,0,Q8),"")</f>
        <v/>
      </c>
      <c r="S8" s="234"/>
      <c r="T8" s="235">
        <f>IFERROR($G8*$M8,"")</f>
        <v>0</v>
      </c>
      <c r="U8" s="265"/>
      <c r="V8" s="300" t="s">
        <v>100</v>
      </c>
      <c r="W8" s="301">
        <v>24</v>
      </c>
      <c r="X8" s="306"/>
      <c r="Y8" s="306"/>
    </row>
    <row r="9" spans="1:38" ht="27.75" customHeight="1">
      <c r="A9" s="205" t="s">
        <v>101</v>
      </c>
      <c r="B9" s="195"/>
      <c r="C9" s="466"/>
      <c r="D9" s="467"/>
      <c r="E9" s="467"/>
      <c r="F9" s="468"/>
      <c r="G9" s="236"/>
      <c r="H9" s="237"/>
      <c r="I9" s="238"/>
      <c r="J9" s="238"/>
      <c r="K9" s="284"/>
      <c r="L9" s="238"/>
      <c r="M9" s="237"/>
      <c r="N9" s="240"/>
      <c r="O9" s="241" t="str">
        <f>IFERROR(VLOOKUP(N9,$V$6:$W$11,2,0),"")</f>
        <v/>
      </c>
      <c r="P9" s="308"/>
      <c r="Q9" s="242" t="str">
        <f>IFERROR(VLOOKUP(P9,$X$6:$Y$7,2,0),"")</f>
        <v/>
      </c>
      <c r="R9" s="233" t="str">
        <f>IFERROR(-PMT($H9,$I9,$G9,0,Q9),"")</f>
        <v/>
      </c>
      <c r="S9" s="243"/>
      <c r="T9" s="239">
        <f>IFERROR($G9*$M9,"")</f>
        <v>0</v>
      </c>
      <c r="U9" s="265"/>
      <c r="V9" s="300" t="s">
        <v>102</v>
      </c>
      <c r="W9" s="301">
        <v>4</v>
      </c>
      <c r="X9" s="302"/>
      <c r="Y9" s="302"/>
    </row>
    <row r="10" spans="1:38" ht="27.75" customHeight="1">
      <c r="A10" s="205" t="s">
        <v>103</v>
      </c>
      <c r="B10" s="195"/>
      <c r="C10" s="466"/>
      <c r="D10" s="467"/>
      <c r="E10" s="467"/>
      <c r="F10" s="468"/>
      <c r="G10" s="236"/>
      <c r="H10" s="237"/>
      <c r="I10" s="238"/>
      <c r="J10" s="238"/>
      <c r="K10" s="238"/>
      <c r="L10" s="232"/>
      <c r="M10" s="237"/>
      <c r="N10" s="240"/>
      <c r="O10" s="241" t="str">
        <f>IFERROR(VLOOKUP(N10,$V$6:$W$11,2,0),"")</f>
        <v/>
      </c>
      <c r="P10" s="308"/>
      <c r="Q10" s="242" t="str">
        <f>IFERROR(VLOOKUP(P10,$X$6:$Y$7,2,0),"")</f>
        <v/>
      </c>
      <c r="R10" s="233" t="str">
        <f>IFERROR(-PMT($H10,$I10,$G10,0,Q10),"")</f>
        <v/>
      </c>
      <c r="S10" s="243"/>
      <c r="T10" s="239">
        <f>IFERROR($G10*$M10,"")</f>
        <v>0</v>
      </c>
      <c r="U10" s="265"/>
      <c r="V10" s="300" t="s">
        <v>104</v>
      </c>
      <c r="W10" s="301">
        <v>2</v>
      </c>
      <c r="X10" s="302"/>
      <c r="Y10" s="302"/>
    </row>
    <row r="11" spans="1:38" ht="27.75" customHeight="1" thickBot="1">
      <c r="A11" s="206" t="s">
        <v>105</v>
      </c>
      <c r="B11" s="196"/>
      <c r="C11" s="453"/>
      <c r="D11" s="454"/>
      <c r="E11" s="454"/>
      <c r="F11" s="455"/>
      <c r="G11" s="244"/>
      <c r="H11" s="245"/>
      <c r="I11" s="247"/>
      <c r="J11" s="246"/>
      <c r="K11" s="246"/>
      <c r="L11" s="247"/>
      <c r="M11" s="247"/>
      <c r="N11" s="247"/>
      <c r="O11" s="247"/>
      <c r="P11" s="309"/>
      <c r="Q11" s="307" t="str">
        <f>IFERROR(VLOOKUP(P11,$X$6:$Y$7,2,0),"")</f>
        <v/>
      </c>
      <c r="R11" s="283" t="str">
        <f>IFERROR(-PMT($H11,$I11,$G11,0,Q11),"")</f>
        <v/>
      </c>
      <c r="S11" s="248"/>
      <c r="T11" s="249">
        <f>IFERROR($G11*$M11,"")</f>
        <v>0</v>
      </c>
      <c r="U11" s="265"/>
      <c r="V11" s="300" t="s">
        <v>35</v>
      </c>
      <c r="W11" s="301">
        <v>1</v>
      </c>
      <c r="X11" s="302"/>
      <c r="Y11" s="302"/>
    </row>
    <row r="12" spans="1:38" s="211" customFormat="1" ht="20.25" customHeight="1" thickBot="1">
      <c r="A12" s="3"/>
      <c r="B12" s="78"/>
      <c r="C12" s="207"/>
      <c r="D12" s="208"/>
      <c r="E12" s="78"/>
      <c r="F12" s="78"/>
      <c r="G12" s="78"/>
      <c r="H12" s="78"/>
      <c r="I12" s="78"/>
      <c r="J12" s="78"/>
      <c r="K12" s="78"/>
      <c r="L12" s="78"/>
      <c r="M12" s="78"/>
      <c r="N12" s="78"/>
      <c r="O12" s="3"/>
      <c r="P12" s="209"/>
      <c r="Q12" s="6"/>
      <c r="R12" s="6"/>
      <c r="S12" s="3"/>
      <c r="T12" s="6"/>
      <c r="U12" s="210"/>
      <c r="V12" s="299"/>
      <c r="W12" s="299"/>
      <c r="X12" s="299"/>
      <c r="Y12" s="299"/>
      <c r="Z12" s="3"/>
      <c r="AA12" s="3"/>
      <c r="AB12" s="3"/>
      <c r="AC12" s="3"/>
      <c r="AD12" s="3"/>
      <c r="AE12" s="3"/>
      <c r="AF12" s="3"/>
    </row>
    <row r="13" spans="1:38" s="259" customFormat="1" ht="27.75" customHeight="1">
      <c r="A13" s="255" t="s">
        <v>106</v>
      </c>
      <c r="B13" s="256"/>
      <c r="C13" s="255"/>
      <c r="D13" s="255"/>
      <c r="E13" s="255"/>
      <c r="F13" s="256"/>
      <c r="G13" s="257"/>
      <c r="H13" s="258"/>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row>
    <row r="14" spans="1:38" s="250" customFormat="1" ht="20.25" customHeight="1">
      <c r="A14" s="13"/>
      <c r="B14" s="212">
        <v>1</v>
      </c>
      <c r="C14" s="212" t="str">
        <f t="shared" ref="C14:R14" si="0">IF(OR(B14=0,B14=""),"",IF(B14+1&lt;=$I$8,B14+1,""))</f>
        <v/>
      </c>
      <c r="D14" s="212" t="str">
        <f t="shared" si="0"/>
        <v/>
      </c>
      <c r="E14" s="212" t="str">
        <f t="shared" si="0"/>
        <v/>
      </c>
      <c r="F14" s="212" t="str">
        <f t="shared" si="0"/>
        <v/>
      </c>
      <c r="G14" s="212" t="str">
        <f t="shared" si="0"/>
        <v/>
      </c>
      <c r="H14" s="212" t="str">
        <f t="shared" si="0"/>
        <v/>
      </c>
      <c r="I14" s="212" t="str">
        <f t="shared" si="0"/>
        <v/>
      </c>
      <c r="J14" s="212" t="str">
        <f t="shared" si="0"/>
        <v/>
      </c>
      <c r="K14" s="212" t="str">
        <f t="shared" si="0"/>
        <v/>
      </c>
      <c r="L14" s="212" t="str">
        <f t="shared" si="0"/>
        <v/>
      </c>
      <c r="M14" s="212" t="str">
        <f t="shared" si="0"/>
        <v/>
      </c>
      <c r="N14" s="212" t="str">
        <f t="shared" si="0"/>
        <v/>
      </c>
      <c r="O14" s="212" t="str">
        <f t="shared" si="0"/>
        <v/>
      </c>
      <c r="P14" s="212" t="str">
        <f t="shared" si="0"/>
        <v/>
      </c>
      <c r="Q14" s="212" t="str">
        <f t="shared" si="0"/>
        <v/>
      </c>
      <c r="R14" s="212" t="str">
        <f t="shared" si="0"/>
        <v/>
      </c>
      <c r="S14" s="212" t="str">
        <f t="shared" ref="S14:AE14" si="1">IF(OR(R14=0,R14=""),"",IF(R14+1&lt;=$I$8,R14+1,""))</f>
        <v/>
      </c>
      <c r="T14" s="212" t="str">
        <f t="shared" si="1"/>
        <v/>
      </c>
      <c r="U14" s="212" t="str">
        <f t="shared" si="1"/>
        <v/>
      </c>
      <c r="V14" s="212" t="str">
        <f t="shared" si="1"/>
        <v/>
      </c>
      <c r="W14" s="212" t="str">
        <f t="shared" si="1"/>
        <v/>
      </c>
      <c r="X14" s="212" t="str">
        <f t="shared" si="1"/>
        <v/>
      </c>
      <c r="Y14" s="212" t="str">
        <f t="shared" si="1"/>
        <v/>
      </c>
      <c r="Z14" s="212" t="str">
        <f t="shared" si="1"/>
        <v/>
      </c>
      <c r="AA14" s="212" t="str">
        <f t="shared" si="1"/>
        <v/>
      </c>
      <c r="AB14" s="212" t="str">
        <f t="shared" si="1"/>
        <v/>
      </c>
      <c r="AC14" s="212" t="str">
        <f t="shared" si="1"/>
        <v/>
      </c>
      <c r="AD14" s="212" t="str">
        <f t="shared" si="1"/>
        <v/>
      </c>
      <c r="AE14" s="212" t="str">
        <f t="shared" si="1"/>
        <v/>
      </c>
    </row>
    <row r="15" spans="1:38" s="250" customFormat="1" ht="20.25" customHeight="1">
      <c r="A15" s="251" t="s">
        <v>107</v>
      </c>
      <c r="B15" s="214" t="str">
        <f>IF(ISBLANK($G$8),"")</f>
        <v/>
      </c>
      <c r="C15" s="304" t="str">
        <f>IF(C$14&lt;=$J$8,B19,"")</f>
        <v/>
      </c>
      <c r="D15" s="252" t="str">
        <f t="shared" ref="D15:AE15" si="2">IF(D$14&lt;=$J$8,C19,"")</f>
        <v/>
      </c>
      <c r="E15" s="252" t="str">
        <f t="shared" si="2"/>
        <v/>
      </c>
      <c r="F15" s="252" t="str">
        <f t="shared" si="2"/>
        <v/>
      </c>
      <c r="G15" s="252" t="str">
        <f t="shared" si="2"/>
        <v/>
      </c>
      <c r="H15" s="252" t="str">
        <f t="shared" si="2"/>
        <v/>
      </c>
      <c r="I15" s="252" t="str">
        <f t="shared" si="2"/>
        <v/>
      </c>
      <c r="J15" s="252" t="str">
        <f t="shared" si="2"/>
        <v/>
      </c>
      <c r="K15" s="252" t="str">
        <f t="shared" si="2"/>
        <v/>
      </c>
      <c r="L15" s="252" t="str">
        <f t="shared" si="2"/>
        <v/>
      </c>
      <c r="M15" s="252" t="str">
        <f t="shared" si="2"/>
        <v/>
      </c>
      <c r="N15" s="252" t="str">
        <f t="shared" si="2"/>
        <v/>
      </c>
      <c r="O15" s="252" t="str">
        <f t="shared" si="2"/>
        <v/>
      </c>
      <c r="P15" s="252" t="str">
        <f t="shared" si="2"/>
        <v/>
      </c>
      <c r="Q15" s="252" t="str">
        <f t="shared" si="2"/>
        <v/>
      </c>
      <c r="R15" s="252" t="str">
        <f t="shared" si="2"/>
        <v/>
      </c>
      <c r="S15" s="252" t="str">
        <f t="shared" si="2"/>
        <v/>
      </c>
      <c r="T15" s="252" t="str">
        <f t="shared" si="2"/>
        <v/>
      </c>
      <c r="U15" s="252" t="str">
        <f t="shared" si="2"/>
        <v/>
      </c>
      <c r="V15" s="252" t="str">
        <f t="shared" si="2"/>
        <v/>
      </c>
      <c r="W15" s="252" t="str">
        <f t="shared" si="2"/>
        <v/>
      </c>
      <c r="X15" s="252" t="str">
        <f t="shared" si="2"/>
        <v/>
      </c>
      <c r="Y15" s="252" t="str">
        <f t="shared" si="2"/>
        <v/>
      </c>
      <c r="Z15" s="252" t="str">
        <f t="shared" si="2"/>
        <v/>
      </c>
      <c r="AA15" s="252" t="str">
        <f t="shared" si="2"/>
        <v/>
      </c>
      <c r="AB15" s="252" t="str">
        <f t="shared" si="2"/>
        <v/>
      </c>
      <c r="AC15" s="252" t="str">
        <f t="shared" si="2"/>
        <v/>
      </c>
      <c r="AD15" s="252" t="str">
        <f t="shared" si="2"/>
        <v/>
      </c>
      <c r="AE15" s="252" t="str">
        <f t="shared" si="2"/>
        <v/>
      </c>
    </row>
    <row r="16" spans="1:38" s="250" customFormat="1" ht="20.25" customHeight="1">
      <c r="A16" s="253" t="s">
        <v>108</v>
      </c>
      <c r="B16" s="217" t="str">
        <f t="shared" ref="B16:AE16" si="3">IFERROR(-PPMT($H$8,B$14,$I$8,$B$15,0,$Q$8),"")</f>
        <v/>
      </c>
      <c r="C16" s="217" t="str">
        <f t="shared" si="3"/>
        <v/>
      </c>
      <c r="D16" s="217" t="str">
        <f t="shared" si="3"/>
        <v/>
      </c>
      <c r="E16" s="217" t="str">
        <f t="shared" si="3"/>
        <v/>
      </c>
      <c r="F16" s="217" t="str">
        <f t="shared" si="3"/>
        <v/>
      </c>
      <c r="G16" s="217" t="str">
        <f t="shared" si="3"/>
        <v/>
      </c>
      <c r="H16" s="217" t="str">
        <f t="shared" si="3"/>
        <v/>
      </c>
      <c r="I16" s="217" t="str">
        <f t="shared" si="3"/>
        <v/>
      </c>
      <c r="J16" s="217" t="str">
        <f t="shared" si="3"/>
        <v/>
      </c>
      <c r="K16" s="217" t="str">
        <f t="shared" si="3"/>
        <v/>
      </c>
      <c r="L16" s="217" t="str">
        <f t="shared" si="3"/>
        <v/>
      </c>
      <c r="M16" s="217" t="str">
        <f t="shared" si="3"/>
        <v/>
      </c>
      <c r="N16" s="217" t="str">
        <f t="shared" si="3"/>
        <v/>
      </c>
      <c r="O16" s="217" t="str">
        <f t="shared" si="3"/>
        <v/>
      </c>
      <c r="P16" s="217" t="str">
        <f t="shared" si="3"/>
        <v/>
      </c>
      <c r="Q16" s="217" t="str">
        <f t="shared" si="3"/>
        <v/>
      </c>
      <c r="R16" s="217" t="str">
        <f t="shared" si="3"/>
        <v/>
      </c>
      <c r="S16" s="217" t="str">
        <f t="shared" si="3"/>
        <v/>
      </c>
      <c r="T16" s="217" t="str">
        <f t="shared" si="3"/>
        <v/>
      </c>
      <c r="U16" s="217" t="str">
        <f t="shared" si="3"/>
        <v/>
      </c>
      <c r="V16" s="217" t="str">
        <f t="shared" si="3"/>
        <v/>
      </c>
      <c r="W16" s="217" t="str">
        <f t="shared" si="3"/>
        <v/>
      </c>
      <c r="X16" s="217" t="str">
        <f t="shared" si="3"/>
        <v/>
      </c>
      <c r="Y16" s="217" t="str">
        <f t="shared" si="3"/>
        <v/>
      </c>
      <c r="Z16" s="217" t="str">
        <f t="shared" si="3"/>
        <v/>
      </c>
      <c r="AA16" s="217" t="str">
        <f t="shared" si="3"/>
        <v/>
      </c>
      <c r="AB16" s="217" t="str">
        <f t="shared" si="3"/>
        <v/>
      </c>
      <c r="AC16" s="217" t="str">
        <f t="shared" si="3"/>
        <v/>
      </c>
      <c r="AD16" s="217" t="str">
        <f t="shared" si="3"/>
        <v/>
      </c>
      <c r="AE16" s="217" t="str">
        <f t="shared" si="3"/>
        <v/>
      </c>
    </row>
    <row r="17" spans="1:37" s="250" customFormat="1" ht="20.25" customHeight="1">
      <c r="A17" s="253" t="s">
        <v>109</v>
      </c>
      <c r="B17" s="217" t="str">
        <f t="shared" ref="B17:AE17" si="4">IFERROR(-IPMT($H$8,B$14,$I$8,$B$15,0,$Q$8),"")</f>
        <v/>
      </c>
      <c r="C17" s="217" t="str">
        <f t="shared" si="4"/>
        <v/>
      </c>
      <c r="D17" s="217" t="str">
        <f t="shared" si="4"/>
        <v/>
      </c>
      <c r="E17" s="217" t="str">
        <f t="shared" si="4"/>
        <v/>
      </c>
      <c r="F17" s="217" t="str">
        <f t="shared" si="4"/>
        <v/>
      </c>
      <c r="G17" s="217" t="str">
        <f t="shared" si="4"/>
        <v/>
      </c>
      <c r="H17" s="217" t="str">
        <f t="shared" si="4"/>
        <v/>
      </c>
      <c r="I17" s="217" t="str">
        <f t="shared" si="4"/>
        <v/>
      </c>
      <c r="J17" s="217" t="str">
        <f t="shared" si="4"/>
        <v/>
      </c>
      <c r="K17" s="217" t="str">
        <f t="shared" si="4"/>
        <v/>
      </c>
      <c r="L17" s="217" t="str">
        <f t="shared" si="4"/>
        <v/>
      </c>
      <c r="M17" s="217" t="str">
        <f t="shared" si="4"/>
        <v/>
      </c>
      <c r="N17" s="217" t="str">
        <f t="shared" si="4"/>
        <v/>
      </c>
      <c r="O17" s="217" t="str">
        <f t="shared" si="4"/>
        <v/>
      </c>
      <c r="P17" s="217" t="str">
        <f t="shared" si="4"/>
        <v/>
      </c>
      <c r="Q17" s="217" t="str">
        <f t="shared" si="4"/>
        <v/>
      </c>
      <c r="R17" s="217" t="str">
        <f t="shared" si="4"/>
        <v/>
      </c>
      <c r="S17" s="217" t="str">
        <f t="shared" si="4"/>
        <v/>
      </c>
      <c r="T17" s="217" t="str">
        <f t="shared" si="4"/>
        <v/>
      </c>
      <c r="U17" s="217" t="str">
        <f t="shared" si="4"/>
        <v/>
      </c>
      <c r="V17" s="217" t="str">
        <f t="shared" si="4"/>
        <v/>
      </c>
      <c r="W17" s="217" t="str">
        <f t="shared" si="4"/>
        <v/>
      </c>
      <c r="X17" s="217" t="str">
        <f t="shared" si="4"/>
        <v/>
      </c>
      <c r="Y17" s="217" t="str">
        <f t="shared" si="4"/>
        <v/>
      </c>
      <c r="Z17" s="217" t="str">
        <f t="shared" si="4"/>
        <v/>
      </c>
      <c r="AA17" s="217" t="str">
        <f t="shared" si="4"/>
        <v/>
      </c>
      <c r="AB17" s="217" t="str">
        <f t="shared" si="4"/>
        <v/>
      </c>
      <c r="AC17" s="217" t="str">
        <f t="shared" si="4"/>
        <v/>
      </c>
      <c r="AD17" s="217" t="str">
        <f t="shared" si="4"/>
        <v/>
      </c>
      <c r="AE17" s="217" t="str">
        <f t="shared" si="4"/>
        <v/>
      </c>
    </row>
    <row r="18" spans="1:37" s="250" customFormat="1" ht="20.25" customHeight="1">
      <c r="A18" s="254" t="s">
        <v>110</v>
      </c>
      <c r="B18" s="218" t="str">
        <f t="shared" ref="B18:AE18" si="5">IFERROR(-CUMIPMT($H$8/$O$8,$I$8*$O$8,B$15,1,$O$8,$Q$8),"")</f>
        <v/>
      </c>
      <c r="C18" s="218" t="str">
        <f t="shared" si="5"/>
        <v/>
      </c>
      <c r="D18" s="218" t="str">
        <f t="shared" si="5"/>
        <v/>
      </c>
      <c r="E18" s="218" t="str">
        <f t="shared" si="5"/>
        <v/>
      </c>
      <c r="F18" s="218" t="str">
        <f t="shared" si="5"/>
        <v/>
      </c>
      <c r="G18" s="218" t="str">
        <f t="shared" si="5"/>
        <v/>
      </c>
      <c r="H18" s="218" t="str">
        <f t="shared" si="5"/>
        <v/>
      </c>
      <c r="I18" s="218" t="str">
        <f t="shared" si="5"/>
        <v/>
      </c>
      <c r="J18" s="218" t="str">
        <f t="shared" si="5"/>
        <v/>
      </c>
      <c r="K18" s="218" t="str">
        <f t="shared" si="5"/>
        <v/>
      </c>
      <c r="L18" s="218" t="str">
        <f t="shared" si="5"/>
        <v/>
      </c>
      <c r="M18" s="218" t="str">
        <f t="shared" si="5"/>
        <v/>
      </c>
      <c r="N18" s="218" t="str">
        <f t="shared" si="5"/>
        <v/>
      </c>
      <c r="O18" s="218" t="str">
        <f t="shared" si="5"/>
        <v/>
      </c>
      <c r="P18" s="218" t="str">
        <f t="shared" si="5"/>
        <v/>
      </c>
      <c r="Q18" s="218" t="str">
        <f t="shared" si="5"/>
        <v/>
      </c>
      <c r="R18" s="218" t="str">
        <f t="shared" si="5"/>
        <v/>
      </c>
      <c r="S18" s="218" t="str">
        <f t="shared" si="5"/>
        <v/>
      </c>
      <c r="T18" s="218" t="str">
        <f t="shared" si="5"/>
        <v/>
      </c>
      <c r="U18" s="218" t="str">
        <f t="shared" si="5"/>
        <v/>
      </c>
      <c r="V18" s="218" t="str">
        <f t="shared" si="5"/>
        <v/>
      </c>
      <c r="W18" s="218" t="str">
        <f t="shared" si="5"/>
        <v/>
      </c>
      <c r="X18" s="218" t="str">
        <f t="shared" si="5"/>
        <v/>
      </c>
      <c r="Y18" s="218" t="str">
        <f t="shared" si="5"/>
        <v/>
      </c>
      <c r="Z18" s="218" t="str">
        <f t="shared" si="5"/>
        <v/>
      </c>
      <c r="AA18" s="218" t="str">
        <f t="shared" si="5"/>
        <v/>
      </c>
      <c r="AB18" s="218" t="str">
        <f t="shared" si="5"/>
        <v/>
      </c>
      <c r="AC18" s="218" t="str">
        <f t="shared" si="5"/>
        <v/>
      </c>
      <c r="AD18" s="218" t="str">
        <f t="shared" si="5"/>
        <v/>
      </c>
      <c r="AE18" s="218" t="str">
        <f t="shared" si="5"/>
        <v/>
      </c>
    </row>
    <row r="19" spans="1:37" s="250" customFormat="1" ht="20.25" customHeight="1">
      <c r="A19" s="13" t="s">
        <v>111</v>
      </c>
      <c r="B19" s="214" t="str">
        <f t="shared" ref="B19:AE19" si="6">IFERROR(B15-B16-B17+B18,"")</f>
        <v/>
      </c>
      <c r="C19" s="214" t="str">
        <f t="shared" si="6"/>
        <v/>
      </c>
      <c r="D19" s="214" t="str">
        <f t="shared" si="6"/>
        <v/>
      </c>
      <c r="E19" s="214" t="str">
        <f t="shared" si="6"/>
        <v/>
      </c>
      <c r="F19" s="214" t="str">
        <f t="shared" si="6"/>
        <v/>
      </c>
      <c r="G19" s="214" t="str">
        <f t="shared" si="6"/>
        <v/>
      </c>
      <c r="H19" s="214" t="str">
        <f t="shared" si="6"/>
        <v/>
      </c>
      <c r="I19" s="214" t="str">
        <f t="shared" si="6"/>
        <v/>
      </c>
      <c r="J19" s="214" t="str">
        <f t="shared" si="6"/>
        <v/>
      </c>
      <c r="K19" s="214" t="str">
        <f t="shared" si="6"/>
        <v/>
      </c>
      <c r="L19" s="214" t="str">
        <f t="shared" si="6"/>
        <v/>
      </c>
      <c r="M19" s="214" t="str">
        <f t="shared" si="6"/>
        <v/>
      </c>
      <c r="N19" s="214" t="str">
        <f t="shared" si="6"/>
        <v/>
      </c>
      <c r="O19" s="214" t="str">
        <f t="shared" si="6"/>
        <v/>
      </c>
      <c r="P19" s="214" t="str">
        <f t="shared" si="6"/>
        <v/>
      </c>
      <c r="Q19" s="214" t="str">
        <f t="shared" si="6"/>
        <v/>
      </c>
      <c r="R19" s="214" t="str">
        <f t="shared" si="6"/>
        <v/>
      </c>
      <c r="S19" s="214" t="str">
        <f t="shared" si="6"/>
        <v/>
      </c>
      <c r="T19" s="214" t="str">
        <f t="shared" si="6"/>
        <v/>
      </c>
      <c r="U19" s="214" t="str">
        <f t="shared" si="6"/>
        <v/>
      </c>
      <c r="V19" s="214" t="str">
        <f t="shared" si="6"/>
        <v/>
      </c>
      <c r="W19" s="214" t="str">
        <f t="shared" si="6"/>
        <v/>
      </c>
      <c r="X19" s="214" t="str">
        <f t="shared" si="6"/>
        <v/>
      </c>
      <c r="Y19" s="214" t="str">
        <f t="shared" si="6"/>
        <v/>
      </c>
      <c r="Z19" s="214" t="str">
        <f t="shared" si="6"/>
        <v/>
      </c>
      <c r="AA19" s="214" t="str">
        <f t="shared" si="6"/>
        <v/>
      </c>
      <c r="AB19" s="214" t="str">
        <f t="shared" si="6"/>
        <v/>
      </c>
      <c r="AC19" s="214" t="str">
        <f t="shared" si="6"/>
        <v/>
      </c>
      <c r="AD19" s="214" t="str">
        <f t="shared" si="6"/>
        <v/>
      </c>
      <c r="AE19" s="214" t="str">
        <f t="shared" si="6"/>
        <v/>
      </c>
    </row>
    <row r="20" spans="1:37" s="4" customFormat="1" ht="20.25" customHeight="1" thickBot="1">
      <c r="A20" s="78"/>
      <c r="B20" s="219"/>
      <c r="C20" s="78"/>
      <c r="D20" s="78"/>
      <c r="E20" s="78"/>
      <c r="F20" s="78"/>
      <c r="G20" s="78"/>
      <c r="H20" s="78"/>
      <c r="I20" s="78"/>
      <c r="J20" s="78"/>
      <c r="K20" s="78"/>
      <c r="L20" s="3"/>
      <c r="M20" s="3"/>
      <c r="N20" s="3"/>
      <c r="O20" s="3"/>
      <c r="P20" s="3"/>
      <c r="Q20" s="3"/>
      <c r="R20" s="3"/>
      <c r="S20" s="3"/>
      <c r="T20" s="3"/>
      <c r="U20" s="3"/>
      <c r="V20" s="3"/>
      <c r="W20" s="3"/>
      <c r="X20" s="3"/>
      <c r="Y20" s="3"/>
      <c r="Z20" s="3"/>
      <c r="AA20" s="3"/>
      <c r="AB20" s="3"/>
      <c r="AC20" s="3"/>
      <c r="AD20" s="3"/>
      <c r="AE20" s="3"/>
      <c r="AF20" s="220"/>
      <c r="AG20" s="220"/>
      <c r="AH20" s="220"/>
      <c r="AI20" s="220"/>
      <c r="AJ20" s="220"/>
      <c r="AK20" s="220"/>
    </row>
    <row r="21" spans="1:37" s="261" customFormat="1" ht="27.75" customHeight="1">
      <c r="A21" s="255" t="s">
        <v>112</v>
      </c>
      <c r="B21" s="256"/>
      <c r="C21" s="255"/>
      <c r="D21" s="255"/>
      <c r="E21" s="255"/>
      <c r="F21" s="256"/>
      <c r="G21" s="257"/>
      <c r="H21" s="260"/>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row>
    <row r="22" spans="1:37" ht="21" customHeight="1">
      <c r="A22" s="4"/>
      <c r="B22" s="212">
        <v>1</v>
      </c>
      <c r="C22" s="212" t="str">
        <f>IFERROR(IF((B22+1&lt;=$I$9),B22+1,""),"")</f>
        <v/>
      </c>
      <c r="D22" s="212" t="str">
        <f t="shared" ref="D22:AK22" si="7">IFERROR(IF((C22+1&lt;=$I$9),C22+1,""),"")</f>
        <v/>
      </c>
      <c r="E22" s="212" t="str">
        <f t="shared" si="7"/>
        <v/>
      </c>
      <c r="F22" s="212" t="str">
        <f t="shared" si="7"/>
        <v/>
      </c>
      <c r="G22" s="212" t="str">
        <f t="shared" si="7"/>
        <v/>
      </c>
      <c r="H22" s="212" t="str">
        <f t="shared" si="7"/>
        <v/>
      </c>
      <c r="I22" s="212" t="str">
        <f t="shared" si="7"/>
        <v/>
      </c>
      <c r="J22" s="212" t="str">
        <f t="shared" si="7"/>
        <v/>
      </c>
      <c r="K22" s="212" t="str">
        <f t="shared" si="7"/>
        <v/>
      </c>
      <c r="L22" s="212" t="str">
        <f t="shared" si="7"/>
        <v/>
      </c>
      <c r="M22" s="212" t="str">
        <f t="shared" si="7"/>
        <v/>
      </c>
      <c r="N22" s="212" t="str">
        <f t="shared" si="7"/>
        <v/>
      </c>
      <c r="O22" s="212" t="str">
        <f t="shared" si="7"/>
        <v/>
      </c>
      <c r="P22" s="212" t="str">
        <f t="shared" si="7"/>
        <v/>
      </c>
      <c r="Q22" s="212" t="str">
        <f t="shared" si="7"/>
        <v/>
      </c>
      <c r="R22" s="212" t="str">
        <f t="shared" si="7"/>
        <v/>
      </c>
      <c r="S22" s="212" t="str">
        <f t="shared" si="7"/>
        <v/>
      </c>
      <c r="T22" s="212" t="str">
        <f t="shared" si="7"/>
        <v/>
      </c>
      <c r="U22" s="212" t="str">
        <f t="shared" si="7"/>
        <v/>
      </c>
      <c r="V22" s="212" t="str">
        <f t="shared" si="7"/>
        <v/>
      </c>
      <c r="W22" s="212" t="str">
        <f t="shared" si="7"/>
        <v/>
      </c>
      <c r="X22" s="212" t="str">
        <f t="shared" si="7"/>
        <v/>
      </c>
      <c r="Y22" s="212" t="str">
        <f t="shared" si="7"/>
        <v/>
      </c>
      <c r="Z22" s="212" t="str">
        <f t="shared" si="7"/>
        <v/>
      </c>
      <c r="AA22" s="212" t="str">
        <f t="shared" si="7"/>
        <v/>
      </c>
      <c r="AB22" s="212" t="str">
        <f t="shared" si="7"/>
        <v/>
      </c>
      <c r="AC22" s="212" t="str">
        <f t="shared" si="7"/>
        <v/>
      </c>
      <c r="AD22" s="212" t="str">
        <f t="shared" si="7"/>
        <v/>
      </c>
      <c r="AE22" s="212" t="str">
        <f t="shared" si="7"/>
        <v/>
      </c>
      <c r="AF22" s="212" t="str">
        <f t="shared" si="7"/>
        <v/>
      </c>
      <c r="AG22" s="212" t="str">
        <f t="shared" si="7"/>
        <v/>
      </c>
      <c r="AH22" s="212" t="str">
        <f t="shared" si="7"/>
        <v/>
      </c>
      <c r="AI22" s="212" t="str">
        <f t="shared" si="7"/>
        <v/>
      </c>
      <c r="AJ22" s="212" t="str">
        <f t="shared" si="7"/>
        <v/>
      </c>
      <c r="AK22" s="212" t="str">
        <f t="shared" si="7"/>
        <v/>
      </c>
    </row>
    <row r="23" spans="1:37" ht="21" customHeight="1">
      <c r="A23" s="213" t="s">
        <v>107</v>
      </c>
      <c r="B23" s="214" t="str">
        <f>IF(ISBLANK($G$9),"")</f>
        <v/>
      </c>
      <c r="C23" s="215" t="str">
        <f>IF(AND(C$22&lt;=$J$9,B$27&gt;0.01),B27,"")</f>
        <v/>
      </c>
      <c r="D23" s="215" t="str">
        <f t="shared" ref="D23:AE23" si="8">IF(AND(D$22&lt;=$J$9,C$27&gt;0.01),C27,"")</f>
        <v/>
      </c>
      <c r="E23" s="215" t="str">
        <f t="shared" si="8"/>
        <v/>
      </c>
      <c r="F23" s="215" t="str">
        <f t="shared" si="8"/>
        <v/>
      </c>
      <c r="G23" s="215" t="str">
        <f t="shared" si="8"/>
        <v/>
      </c>
      <c r="H23" s="215" t="str">
        <f t="shared" si="8"/>
        <v/>
      </c>
      <c r="I23" s="215" t="str">
        <f t="shared" si="8"/>
        <v/>
      </c>
      <c r="J23" s="215" t="str">
        <f t="shared" si="8"/>
        <v/>
      </c>
      <c r="K23" s="215" t="str">
        <f t="shared" si="8"/>
        <v/>
      </c>
      <c r="L23" s="215" t="str">
        <f t="shared" si="8"/>
        <v/>
      </c>
      <c r="M23" s="215" t="str">
        <f t="shared" si="8"/>
        <v/>
      </c>
      <c r="N23" s="215" t="str">
        <f t="shared" si="8"/>
        <v/>
      </c>
      <c r="O23" s="215" t="str">
        <f t="shared" si="8"/>
        <v/>
      </c>
      <c r="P23" s="215" t="str">
        <f t="shared" si="8"/>
        <v/>
      </c>
      <c r="Q23" s="215" t="str">
        <f t="shared" si="8"/>
        <v/>
      </c>
      <c r="R23" s="215" t="str">
        <f t="shared" si="8"/>
        <v/>
      </c>
      <c r="S23" s="215" t="str">
        <f t="shared" si="8"/>
        <v/>
      </c>
      <c r="T23" s="215" t="str">
        <f t="shared" si="8"/>
        <v/>
      </c>
      <c r="U23" s="215" t="str">
        <f t="shared" si="8"/>
        <v/>
      </c>
      <c r="V23" s="215" t="str">
        <f t="shared" si="8"/>
        <v/>
      </c>
      <c r="W23" s="215" t="str">
        <f t="shared" si="8"/>
        <v/>
      </c>
      <c r="X23" s="215" t="str">
        <f t="shared" si="8"/>
        <v/>
      </c>
      <c r="Y23" s="215" t="str">
        <f t="shared" si="8"/>
        <v/>
      </c>
      <c r="Z23" s="215" t="str">
        <f t="shared" si="8"/>
        <v/>
      </c>
      <c r="AA23" s="215" t="str">
        <f t="shared" si="8"/>
        <v/>
      </c>
      <c r="AB23" s="215" t="str">
        <f t="shared" si="8"/>
        <v/>
      </c>
      <c r="AC23" s="215" t="str">
        <f t="shared" si="8"/>
        <v/>
      </c>
      <c r="AD23" s="215" t="str">
        <f t="shared" si="8"/>
        <v/>
      </c>
      <c r="AE23" s="215" t="str">
        <f t="shared" si="8"/>
        <v/>
      </c>
    </row>
    <row r="24" spans="1:37" ht="21" customHeight="1">
      <c r="A24" s="216" t="s">
        <v>108</v>
      </c>
      <c r="B24" s="217" t="str">
        <f>IFERROR(IF(B$22&lt;=$L$9,0,-PPMT($H$9,B$22,$I$9,$B$23,0,$Q$9)),"")</f>
        <v/>
      </c>
      <c r="C24" s="217" t="str">
        <f>IF(IF(C$22&lt;=$L$9,0,IF(B$27&gt;=0.01,-PPMT($H$9,C$22,$I$9,$B$23,0,$Q$9),""))=0,"",(IF(C$22&lt;=$L$9,0,IF(B$27&gt;=0.01,-PPMT($H$9,C$22,$I$9,$B$23,0,$Q$9),""))))</f>
        <v/>
      </c>
      <c r="D24" s="217" t="str">
        <f t="shared" ref="D24:AE24" si="9">IF(IF(D$22&lt;=$L$9,0,IF(C$27&gt;=0.01,-PPMT($H$9,D$22,$I$9,$B$23,0,$Q$9),""))=0,"",(IF(D$22&lt;=$L$9,0,IF(C$27&gt;=0.01,-PPMT($H$9,D$22,$I$9,$B$23,0,$Q$9),""))))</f>
        <v/>
      </c>
      <c r="E24" s="217" t="str">
        <f t="shared" si="9"/>
        <v/>
      </c>
      <c r="F24" s="217" t="str">
        <f t="shared" si="9"/>
        <v/>
      </c>
      <c r="G24" s="217" t="str">
        <f t="shared" si="9"/>
        <v/>
      </c>
      <c r="H24" s="217" t="str">
        <f t="shared" si="9"/>
        <v/>
      </c>
      <c r="I24" s="217" t="str">
        <f t="shared" si="9"/>
        <v/>
      </c>
      <c r="J24" s="217" t="str">
        <f t="shared" si="9"/>
        <v/>
      </c>
      <c r="K24" s="217" t="str">
        <f t="shared" si="9"/>
        <v/>
      </c>
      <c r="L24" s="217" t="str">
        <f t="shared" si="9"/>
        <v/>
      </c>
      <c r="M24" s="217" t="str">
        <f t="shared" si="9"/>
        <v/>
      </c>
      <c r="N24" s="217" t="str">
        <f t="shared" si="9"/>
        <v/>
      </c>
      <c r="O24" s="217" t="str">
        <f t="shared" si="9"/>
        <v/>
      </c>
      <c r="P24" s="217" t="str">
        <f t="shared" si="9"/>
        <v/>
      </c>
      <c r="Q24" s="217" t="str">
        <f t="shared" si="9"/>
        <v/>
      </c>
      <c r="R24" s="217" t="str">
        <f t="shared" si="9"/>
        <v/>
      </c>
      <c r="S24" s="217" t="str">
        <f t="shared" si="9"/>
        <v/>
      </c>
      <c r="T24" s="217" t="str">
        <f t="shared" si="9"/>
        <v/>
      </c>
      <c r="U24" s="217" t="str">
        <f t="shared" si="9"/>
        <v/>
      </c>
      <c r="V24" s="217" t="str">
        <f t="shared" si="9"/>
        <v/>
      </c>
      <c r="W24" s="217" t="str">
        <f t="shared" si="9"/>
        <v/>
      </c>
      <c r="X24" s="217" t="str">
        <f t="shared" si="9"/>
        <v/>
      </c>
      <c r="Y24" s="217" t="str">
        <f t="shared" si="9"/>
        <v/>
      </c>
      <c r="Z24" s="217" t="str">
        <f t="shared" si="9"/>
        <v/>
      </c>
      <c r="AA24" s="217" t="str">
        <f t="shared" si="9"/>
        <v/>
      </c>
      <c r="AB24" s="217" t="str">
        <f t="shared" si="9"/>
        <v/>
      </c>
      <c r="AC24" s="217" t="str">
        <f t="shared" si="9"/>
        <v/>
      </c>
      <c r="AD24" s="217" t="str">
        <f t="shared" si="9"/>
        <v/>
      </c>
      <c r="AE24" s="217" t="str">
        <f t="shared" si="9"/>
        <v/>
      </c>
    </row>
    <row r="25" spans="1:37" ht="21" customHeight="1">
      <c r="A25" s="216" t="s">
        <v>109</v>
      </c>
      <c r="B25" s="228" t="str">
        <f>IFERROR(-IPMT($H$9,B$22,$I$9,$B$23,0,$Q$9),"")</f>
        <v/>
      </c>
      <c r="C25" s="305" t="str">
        <f>IFERROR(IF(AND(C$22&lt;=$J$9,B$27&gt;=0.01),-IPMT($H$9,C$22,$I$9,$B$23,0,$Q$9),""),"")</f>
        <v/>
      </c>
      <c r="D25" s="305" t="str">
        <f t="shared" ref="D25:AE25" si="10">IFERROR(IF(AND(D$22&lt;=$J$9,C$27&gt;=0.01),-IPMT($H$9,D$22,$I$9,$B$23,0,$Q$9),""),"")</f>
        <v/>
      </c>
      <c r="E25" s="305" t="str">
        <f t="shared" si="10"/>
        <v/>
      </c>
      <c r="F25" s="305" t="str">
        <f t="shared" si="10"/>
        <v/>
      </c>
      <c r="G25" s="305" t="str">
        <f t="shared" si="10"/>
        <v/>
      </c>
      <c r="H25" s="305" t="str">
        <f t="shared" si="10"/>
        <v/>
      </c>
      <c r="I25" s="305" t="str">
        <f t="shared" si="10"/>
        <v/>
      </c>
      <c r="J25" s="305" t="str">
        <f t="shared" si="10"/>
        <v/>
      </c>
      <c r="K25" s="305" t="str">
        <f t="shared" si="10"/>
        <v/>
      </c>
      <c r="L25" s="305" t="str">
        <f t="shared" si="10"/>
        <v/>
      </c>
      <c r="M25" s="305" t="str">
        <f t="shared" si="10"/>
        <v/>
      </c>
      <c r="N25" s="305" t="str">
        <f t="shared" si="10"/>
        <v/>
      </c>
      <c r="O25" s="305" t="str">
        <f t="shared" si="10"/>
        <v/>
      </c>
      <c r="P25" s="305" t="str">
        <f t="shared" si="10"/>
        <v/>
      </c>
      <c r="Q25" s="305" t="str">
        <f t="shared" si="10"/>
        <v/>
      </c>
      <c r="R25" s="305" t="str">
        <f t="shared" si="10"/>
        <v/>
      </c>
      <c r="S25" s="305" t="str">
        <f t="shared" si="10"/>
        <v/>
      </c>
      <c r="T25" s="305" t="str">
        <f t="shared" si="10"/>
        <v/>
      </c>
      <c r="U25" s="305" t="str">
        <f t="shared" si="10"/>
        <v/>
      </c>
      <c r="V25" s="305" t="str">
        <f t="shared" si="10"/>
        <v/>
      </c>
      <c r="W25" s="305" t="str">
        <f t="shared" si="10"/>
        <v/>
      </c>
      <c r="X25" s="305" t="str">
        <f t="shared" si="10"/>
        <v/>
      </c>
      <c r="Y25" s="305" t="str">
        <f t="shared" si="10"/>
        <v/>
      </c>
      <c r="Z25" s="305" t="str">
        <f t="shared" si="10"/>
        <v/>
      </c>
      <c r="AA25" s="305" t="str">
        <f t="shared" si="10"/>
        <v/>
      </c>
      <c r="AB25" s="305" t="str">
        <f t="shared" si="10"/>
        <v/>
      </c>
      <c r="AC25" s="305" t="str">
        <f t="shared" si="10"/>
        <v/>
      </c>
      <c r="AD25" s="305" t="str">
        <f t="shared" si="10"/>
        <v/>
      </c>
      <c r="AE25" s="305" t="str">
        <f t="shared" si="10"/>
        <v/>
      </c>
    </row>
    <row r="26" spans="1:37" ht="21" customHeight="1">
      <c r="A26" s="355" t="s">
        <v>110</v>
      </c>
      <c r="B26" s="218" t="str">
        <f>IFERROR(IF(B$22&lt;=$L$9,0,-CUMIPMT($H$9/$O$9,$I$9*$O$9,B$23,1,$O$9,$Q$9)),"")</f>
        <v/>
      </c>
      <c r="C26" s="218" t="str">
        <f>IF(IF(C$22&lt;=$L$9,0,-CUMIPMT($H$9/$O$9,$I$9*$O$9,C$23,1,$O$9,$Q$9))=0,"",IF(C$22&lt;=$L$9,0,-CUMIPMT($H$9/$O$9,$I$9*$O$9,C$23,1,$O$9,$Q$9)))</f>
        <v/>
      </c>
      <c r="D26" s="218" t="str">
        <f t="shared" ref="D26:AE26" si="11">IF(IF(D$22&lt;=$L$9,0,-CUMIPMT($H$9/$O$9,$I$9*$O$9,D$23,1,$O$9,$Q$9))=0,"",IF(D$22&lt;=$L$9,0,-CUMIPMT($H$9/$O$9,$I$9*$O$9,D$23,1,$O$9,$Q$9)))</f>
        <v/>
      </c>
      <c r="E26" s="218" t="str">
        <f t="shared" si="11"/>
        <v/>
      </c>
      <c r="F26" s="218" t="str">
        <f t="shared" si="11"/>
        <v/>
      </c>
      <c r="G26" s="218" t="str">
        <f t="shared" si="11"/>
        <v/>
      </c>
      <c r="H26" s="218" t="str">
        <f t="shared" si="11"/>
        <v/>
      </c>
      <c r="I26" s="218" t="str">
        <f t="shared" si="11"/>
        <v/>
      </c>
      <c r="J26" s="218" t="str">
        <f t="shared" si="11"/>
        <v/>
      </c>
      <c r="K26" s="218" t="str">
        <f t="shared" si="11"/>
        <v/>
      </c>
      <c r="L26" s="218" t="str">
        <f t="shared" si="11"/>
        <v/>
      </c>
      <c r="M26" s="218" t="str">
        <f t="shared" si="11"/>
        <v/>
      </c>
      <c r="N26" s="218" t="str">
        <f t="shared" si="11"/>
        <v/>
      </c>
      <c r="O26" s="218" t="str">
        <f t="shared" si="11"/>
        <v/>
      </c>
      <c r="P26" s="218" t="str">
        <f t="shared" si="11"/>
        <v/>
      </c>
      <c r="Q26" s="218" t="str">
        <f t="shared" si="11"/>
        <v/>
      </c>
      <c r="R26" s="218" t="str">
        <f t="shared" si="11"/>
        <v/>
      </c>
      <c r="S26" s="218" t="str">
        <f t="shared" si="11"/>
        <v/>
      </c>
      <c r="T26" s="218" t="str">
        <f t="shared" si="11"/>
        <v/>
      </c>
      <c r="U26" s="218" t="str">
        <f t="shared" si="11"/>
        <v/>
      </c>
      <c r="V26" s="218" t="str">
        <f t="shared" si="11"/>
        <v/>
      </c>
      <c r="W26" s="218" t="str">
        <f t="shared" si="11"/>
        <v/>
      </c>
      <c r="X26" s="218" t="str">
        <f t="shared" si="11"/>
        <v/>
      </c>
      <c r="Y26" s="218" t="str">
        <f t="shared" si="11"/>
        <v/>
      </c>
      <c r="Z26" s="218" t="str">
        <f t="shared" si="11"/>
        <v/>
      </c>
      <c r="AA26" s="218" t="str">
        <f t="shared" si="11"/>
        <v/>
      </c>
      <c r="AB26" s="218" t="str">
        <f t="shared" si="11"/>
        <v/>
      </c>
      <c r="AC26" s="218" t="str">
        <f t="shared" si="11"/>
        <v/>
      </c>
      <c r="AD26" s="218" t="str">
        <f t="shared" si="11"/>
        <v/>
      </c>
      <c r="AE26" s="218" t="str">
        <f t="shared" si="11"/>
        <v/>
      </c>
    </row>
    <row r="27" spans="1:37" ht="21" customHeight="1">
      <c r="A27" s="4" t="s">
        <v>111</v>
      </c>
      <c r="B27" s="214" t="str">
        <f t="shared" ref="B27" si="12">IFERROR(B23-B24-B25+B26,"")</f>
        <v/>
      </c>
      <c r="C27" s="214" t="str">
        <f t="shared" ref="C27" si="13">IFERROR(C23-C24-C25+C26,"")</f>
        <v/>
      </c>
      <c r="D27" s="214" t="str">
        <f t="shared" ref="D27:AE27" si="14">IFERROR(D23-D24-D25+D26,"")</f>
        <v/>
      </c>
      <c r="E27" s="214" t="str">
        <f t="shared" si="14"/>
        <v/>
      </c>
      <c r="F27" s="214" t="str">
        <f t="shared" si="14"/>
        <v/>
      </c>
      <c r="G27" s="214" t="str">
        <f t="shared" si="14"/>
        <v/>
      </c>
      <c r="H27" s="214" t="str">
        <f t="shared" si="14"/>
        <v/>
      </c>
      <c r="I27" s="214" t="str">
        <f t="shared" si="14"/>
        <v/>
      </c>
      <c r="J27" s="214" t="str">
        <f t="shared" si="14"/>
        <v/>
      </c>
      <c r="K27" s="214" t="str">
        <f t="shared" si="14"/>
        <v/>
      </c>
      <c r="L27" s="214" t="str">
        <f t="shared" si="14"/>
        <v/>
      </c>
      <c r="M27" s="214" t="str">
        <f t="shared" si="14"/>
        <v/>
      </c>
      <c r="N27" s="214" t="str">
        <f t="shared" si="14"/>
        <v/>
      </c>
      <c r="O27" s="214" t="str">
        <f t="shared" si="14"/>
        <v/>
      </c>
      <c r="P27" s="214" t="str">
        <f t="shared" si="14"/>
        <v/>
      </c>
      <c r="Q27" s="214" t="str">
        <f t="shared" si="14"/>
        <v/>
      </c>
      <c r="R27" s="214" t="str">
        <f t="shared" si="14"/>
        <v/>
      </c>
      <c r="S27" s="214" t="str">
        <f t="shared" si="14"/>
        <v/>
      </c>
      <c r="T27" s="214" t="str">
        <f t="shared" si="14"/>
        <v/>
      </c>
      <c r="U27" s="214" t="str">
        <f t="shared" si="14"/>
        <v/>
      </c>
      <c r="V27" s="214" t="str">
        <f t="shared" si="14"/>
        <v/>
      </c>
      <c r="W27" s="214" t="str">
        <f t="shared" si="14"/>
        <v/>
      </c>
      <c r="X27" s="214" t="str">
        <f t="shared" si="14"/>
        <v/>
      </c>
      <c r="Y27" s="214" t="str">
        <f t="shared" si="14"/>
        <v/>
      </c>
      <c r="Z27" s="214" t="str">
        <f t="shared" si="14"/>
        <v/>
      </c>
      <c r="AA27" s="214" t="str">
        <f t="shared" si="14"/>
        <v/>
      </c>
      <c r="AB27" s="214" t="str">
        <f t="shared" si="14"/>
        <v/>
      </c>
      <c r="AC27" s="214" t="str">
        <f t="shared" si="14"/>
        <v/>
      </c>
      <c r="AD27" s="214" t="str">
        <f t="shared" si="14"/>
        <v/>
      </c>
      <c r="AE27" s="214" t="str">
        <f t="shared" si="14"/>
        <v/>
      </c>
    </row>
    <row r="28" spans="1:37" s="4" customFormat="1" ht="20.25" customHeight="1" thickBot="1">
      <c r="C28" s="222"/>
      <c r="F28" s="222"/>
      <c r="O28" s="3"/>
      <c r="AF28" s="223"/>
      <c r="AG28" s="223"/>
      <c r="AH28" s="223"/>
      <c r="AI28" s="223"/>
      <c r="AJ28" s="223"/>
      <c r="AK28" s="223"/>
    </row>
    <row r="29" spans="1:37" s="261" customFormat="1" ht="27.75" customHeight="1">
      <c r="A29" s="255" t="s">
        <v>113</v>
      </c>
      <c r="B29" s="256"/>
      <c r="C29" s="255"/>
      <c r="D29" s="255"/>
      <c r="E29" s="255"/>
      <c r="F29" s="256"/>
      <c r="G29" s="257"/>
      <c r="H29" s="260"/>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row>
    <row r="30" spans="1:37" ht="21" customHeight="1">
      <c r="A30" s="4"/>
      <c r="B30" s="212">
        <v>1</v>
      </c>
      <c r="C30" s="212" t="str">
        <f>IFERROR(IF((B30+1&lt;=($J$10)),B30+1,""),"")</f>
        <v/>
      </c>
      <c r="D30" s="212" t="str">
        <f t="shared" ref="D30:AE30" si="15">IFERROR(IF((C30+1&lt;=($I$10)),C30+1,""),"")</f>
        <v/>
      </c>
      <c r="E30" s="212" t="str">
        <f t="shared" si="15"/>
        <v/>
      </c>
      <c r="F30" s="212" t="str">
        <f t="shared" si="15"/>
        <v/>
      </c>
      <c r="G30" s="212" t="str">
        <f t="shared" si="15"/>
        <v/>
      </c>
      <c r="H30" s="212" t="str">
        <f t="shared" si="15"/>
        <v/>
      </c>
      <c r="I30" s="212" t="str">
        <f t="shared" si="15"/>
        <v/>
      </c>
      <c r="J30" s="212" t="str">
        <f t="shared" si="15"/>
        <v/>
      </c>
      <c r="K30" s="212" t="str">
        <f t="shared" si="15"/>
        <v/>
      </c>
      <c r="L30" s="212" t="str">
        <f t="shared" si="15"/>
        <v/>
      </c>
      <c r="M30" s="212" t="str">
        <f t="shared" si="15"/>
        <v/>
      </c>
      <c r="N30" s="212" t="str">
        <f t="shared" si="15"/>
        <v/>
      </c>
      <c r="O30" s="212" t="str">
        <f t="shared" si="15"/>
        <v/>
      </c>
      <c r="P30" s="212" t="str">
        <f t="shared" si="15"/>
        <v/>
      </c>
      <c r="Q30" s="212" t="str">
        <f t="shared" si="15"/>
        <v/>
      </c>
      <c r="R30" s="212" t="str">
        <f t="shared" si="15"/>
        <v/>
      </c>
      <c r="S30" s="212" t="str">
        <f t="shared" si="15"/>
        <v/>
      </c>
      <c r="T30" s="212" t="str">
        <f t="shared" si="15"/>
        <v/>
      </c>
      <c r="U30" s="212" t="str">
        <f t="shared" si="15"/>
        <v/>
      </c>
      <c r="V30" s="212" t="str">
        <f t="shared" si="15"/>
        <v/>
      </c>
      <c r="W30" s="212" t="str">
        <f t="shared" si="15"/>
        <v/>
      </c>
      <c r="X30" s="212" t="str">
        <f t="shared" si="15"/>
        <v/>
      </c>
      <c r="Y30" s="212" t="str">
        <f t="shared" si="15"/>
        <v/>
      </c>
      <c r="Z30" s="212" t="str">
        <f t="shared" si="15"/>
        <v/>
      </c>
      <c r="AA30" s="212" t="str">
        <f t="shared" si="15"/>
        <v/>
      </c>
      <c r="AB30" s="212" t="str">
        <f t="shared" si="15"/>
        <v/>
      </c>
      <c r="AC30" s="212" t="str">
        <f t="shared" si="15"/>
        <v/>
      </c>
      <c r="AD30" s="212" t="str">
        <f t="shared" si="15"/>
        <v/>
      </c>
      <c r="AE30" s="212" t="str">
        <f t="shared" si="15"/>
        <v/>
      </c>
      <c r="AF30" s="215"/>
      <c r="AG30" s="215"/>
      <c r="AH30" s="215"/>
      <c r="AI30" s="215"/>
      <c r="AJ30" s="215"/>
      <c r="AK30" s="215"/>
    </row>
    <row r="31" spans="1:37" ht="21" customHeight="1">
      <c r="A31" s="213" t="s">
        <v>107</v>
      </c>
      <c r="B31" s="215" t="str">
        <f>IFERROR(IF(B$30&lt;=$I$10,$G$10,""),"")</f>
        <v/>
      </c>
      <c r="C31" s="215" t="str">
        <f>IFERROR(IF(C$30&lt;=$I$10,B$35,""),"")</f>
        <v/>
      </c>
      <c r="D31" s="215" t="str">
        <f t="shared" ref="D31:AE31" si="16">IFERROR(IF(D$30&lt;=$I$10,C$35,""),"")</f>
        <v/>
      </c>
      <c r="E31" s="215" t="str">
        <f t="shared" si="16"/>
        <v/>
      </c>
      <c r="F31" s="215" t="str">
        <f t="shared" si="16"/>
        <v/>
      </c>
      <c r="G31" s="215" t="str">
        <f t="shared" si="16"/>
        <v/>
      </c>
      <c r="H31" s="215" t="str">
        <f t="shared" si="16"/>
        <v/>
      </c>
      <c r="I31" s="215" t="str">
        <f t="shared" si="16"/>
        <v/>
      </c>
      <c r="J31" s="215" t="str">
        <f t="shared" si="16"/>
        <v/>
      </c>
      <c r="K31" s="215" t="str">
        <f t="shared" si="16"/>
        <v/>
      </c>
      <c r="L31" s="215" t="str">
        <f t="shared" si="16"/>
        <v/>
      </c>
      <c r="M31" s="215" t="str">
        <f t="shared" si="16"/>
        <v/>
      </c>
      <c r="N31" s="215" t="str">
        <f t="shared" si="16"/>
        <v/>
      </c>
      <c r="O31" s="215" t="str">
        <f t="shared" si="16"/>
        <v/>
      </c>
      <c r="P31" s="215" t="str">
        <f t="shared" si="16"/>
        <v/>
      </c>
      <c r="Q31" s="215" t="str">
        <f t="shared" si="16"/>
        <v/>
      </c>
      <c r="R31" s="215" t="str">
        <f t="shared" si="16"/>
        <v/>
      </c>
      <c r="S31" s="215" t="str">
        <f t="shared" si="16"/>
        <v/>
      </c>
      <c r="T31" s="215" t="str">
        <f t="shared" si="16"/>
        <v/>
      </c>
      <c r="U31" s="215" t="str">
        <f t="shared" si="16"/>
        <v/>
      </c>
      <c r="V31" s="215" t="str">
        <f t="shared" si="16"/>
        <v/>
      </c>
      <c r="W31" s="215" t="str">
        <f t="shared" si="16"/>
        <v/>
      </c>
      <c r="X31" s="215" t="str">
        <f t="shared" si="16"/>
        <v/>
      </c>
      <c r="Y31" s="215" t="str">
        <f t="shared" si="16"/>
        <v/>
      </c>
      <c r="Z31" s="215" t="str">
        <f t="shared" si="16"/>
        <v/>
      </c>
      <c r="AA31" s="215" t="str">
        <f t="shared" si="16"/>
        <v/>
      </c>
      <c r="AB31" s="215" t="str">
        <f t="shared" si="16"/>
        <v/>
      </c>
      <c r="AC31" s="215" t="str">
        <f t="shared" si="16"/>
        <v/>
      </c>
      <c r="AD31" s="215" t="str">
        <f t="shared" si="16"/>
        <v/>
      </c>
      <c r="AE31" s="215" t="str">
        <f t="shared" si="16"/>
        <v/>
      </c>
    </row>
    <row r="32" spans="1:37" ht="21" customHeight="1">
      <c r="A32" s="216" t="s">
        <v>108</v>
      </c>
      <c r="B32" s="221" t="str" cm="1">
        <f t="array" ref="B32">IFERROR(_xlfn.IFS(B$30&lt;$K$10,0,B$30&gt;=$K$10,-PPMT($H$10,B$30,$I$10,B$31,0,$Q$10),B$30&gt;$I$10,""),"")</f>
        <v/>
      </c>
      <c r="C32" s="221" t="str" cm="1">
        <f t="array" ref="C32">IFERROR(_xlfn.IFS(C$30&lt;$K$10,0,C$30&gt;=$K$10,-PPMT($H$10,C$30,$I$10,C$31,0,$Q$10),C$30&gt;$I$10,""),"")</f>
        <v/>
      </c>
      <c r="D32" s="221" t="str" cm="1">
        <f t="array" ref="D32">IFERROR(_xlfn.IFS(D$30&lt;$K$10,0,D$30&gt;=$K$10,-PPMT($H$10,D$30,$I$10,D$31,0,$Q$10),D$30&gt;$I$10,""),"")</f>
        <v/>
      </c>
      <c r="E32" s="221" t="str" cm="1">
        <f t="array" ref="E32">IFERROR(_xlfn.IFS(E$30&lt;$K$10,0,E$30&gt;=$K$10,-PPMT($H$10,E$30,$I$10,E$31,0,$Q$10),E$30&gt;$I$10,""),"")</f>
        <v/>
      </c>
      <c r="F32" s="221" t="str" cm="1">
        <f t="array" ref="F32">IFERROR(_xlfn.IFS(F$30&lt;$K$10,0,F$30&gt;=$K$10,-PPMT($H$10,F$30,$I$10,F$31,0,$Q$10),F$30&gt;$I$10,""),"")</f>
        <v/>
      </c>
      <c r="G32" s="221" t="str" cm="1">
        <f t="array" ref="G32">IFERROR(_xlfn.IFS(G$30&lt;$K$10,0,G$30&gt;=$K$10,-PPMT($H$10,G$30,$I$10,G$31,0,$Q$10),G$30&gt;$I$10,""),"")</f>
        <v/>
      </c>
      <c r="H32" s="221" t="str" cm="1">
        <f t="array" ref="H32">IFERROR(_xlfn.IFS(H$30&lt;$K$10,0,H$30&gt;=$K$10,-PPMT($H$10,H$30,$I$10,H$31,0,$Q$10),H$30&gt;$I$10,""),"")</f>
        <v/>
      </c>
      <c r="I32" s="221" t="str" cm="1">
        <f t="array" ref="I32">IFERROR(_xlfn.IFS(I$30&lt;$K$10,0,I$30&gt;=$K$10,-PPMT($H$10,I$30,$I$10,I$31,0,$Q$10),I$30&gt;$I$10,""),"")</f>
        <v/>
      </c>
      <c r="J32" s="221" t="str" cm="1">
        <f t="array" ref="J32">IFERROR(_xlfn.IFS(J$30&lt;$K$10,0,J$30&gt;=$K$10,-PPMT($H$10,J$30,$I$10,J$31,0,$Q$10),J$30&gt;$I$10,""),"")</f>
        <v/>
      </c>
      <c r="K32" s="221" t="str" cm="1">
        <f t="array" ref="K32">IFERROR(_xlfn.IFS(K$30&lt;$K$10,0,K$30&gt;=$K$10,-PPMT($H$10,K$30,$I$10,K$31,0,$Q$10),K$30&gt;$I$10,""),"")</f>
        <v/>
      </c>
      <c r="L32" s="221" t="str" cm="1">
        <f t="array" ref="L32">IFERROR(_xlfn.IFS(L$30&lt;$K$10,0,L$30&gt;=$K$10,-PPMT($H$10,L$30,$I$10,L$31,0,$Q$10),L$30&gt;$I$10,""),"")</f>
        <v/>
      </c>
      <c r="M32" s="221" t="str" cm="1">
        <f t="array" ref="M32">IFERROR(_xlfn.IFS(M$30&lt;$K$10,0,M$30&gt;=$K$10,-PPMT($H$10,M$30,$I$10,M$31,0,$Q$10),M$30&gt;$I$10,""),"")</f>
        <v/>
      </c>
      <c r="N32" s="221" t="str" cm="1">
        <f t="array" ref="N32">IFERROR(_xlfn.IFS(N$30&lt;$K$10,0,N$30&gt;=$K$10,-PPMT($H$10,N$30,$I$10,N$31,0,$Q$10),N$30&gt;$I$10,""),"")</f>
        <v/>
      </c>
      <c r="O32" s="221" t="str" cm="1">
        <f t="array" ref="O32">IFERROR(_xlfn.IFS(O$30&lt;$K$10,0,O$30&gt;=$K$10,-PPMT($H$10,O$30,$I$10,O$31,0,$Q$10),O$30&gt;$I$10,""),"")</f>
        <v/>
      </c>
      <c r="P32" s="221" t="str" cm="1">
        <f t="array" ref="P32">IFERROR(_xlfn.IFS(P$30&lt;$K$10,0,P$30&gt;=$K$10,-PPMT($H$10,P$30,$I$10,P$31,0,$Q$10),P$30&gt;$I$10,""),"")</f>
        <v/>
      </c>
      <c r="Q32" s="221" t="str" cm="1">
        <f t="array" ref="Q32">IFERROR(_xlfn.IFS(Q$30&lt;$K$10,0,Q$30&gt;=$K$10,-PPMT($H$10,Q$30,$I$10,Q$31,0,$Q$10),Q$30&gt;$I$10,""),"")</f>
        <v/>
      </c>
      <c r="R32" s="221" t="str" cm="1">
        <f t="array" ref="R32">IFERROR(_xlfn.IFS(R$30&lt;$K$10,0,R$30&gt;=$K$10,-PPMT($H$10,R$30,$I$10,R$31,0,$Q$10),R$30&gt;$I$10,""),"")</f>
        <v/>
      </c>
      <c r="S32" s="221" t="str" cm="1">
        <f t="array" ref="S32">IFERROR(_xlfn.IFS(S$30&lt;$K$10,0,S$30&gt;=$K$10,-PPMT($H$10,S$30,$I$10,S$31,0,$Q$10),S$30&gt;$I$10,""),"")</f>
        <v/>
      </c>
      <c r="T32" s="221" t="str" cm="1">
        <f t="array" ref="T32">IFERROR(_xlfn.IFS(T$30&lt;$K$10,0,T$30&gt;=$K$10,-PPMT($H$10,T$30,$I$10,T$31,0,$Q$10),T$30&gt;$I$10,""),"")</f>
        <v/>
      </c>
      <c r="U32" s="221" t="str" cm="1">
        <f t="array" ref="U32">IFERROR(_xlfn.IFS(U$30&lt;$K$10,0,U$30&gt;=$K$10,-PPMT($H$10,U$30,$I$10,U$31,0,$Q$10),U$30&gt;$I$10,""),"")</f>
        <v/>
      </c>
      <c r="V32" s="221" t="str" cm="1">
        <f t="array" ref="V32">IFERROR(_xlfn.IFS(V$30&lt;$K$10,0,V$30&gt;=$K$10,-PPMT($H$10,V$30,$I$10,V$31,0,$Q$10),V$30&gt;$I$10,""),"")</f>
        <v/>
      </c>
      <c r="W32" s="221" t="str" cm="1">
        <f t="array" ref="W32">IFERROR(_xlfn.IFS(W$30&lt;$K$10,0,W$30&gt;=$K$10,-PPMT($H$10,W$30,$I$10,W$31,0,$Q$10),W$30&gt;$I$10,""),"")</f>
        <v/>
      </c>
      <c r="X32" s="221" t="str" cm="1">
        <f t="array" ref="X32">IFERROR(_xlfn.IFS(X$30&lt;$K$10,0,X$30&gt;=$K$10,-PPMT($H$10,X$30,$I$10,X$31,0,$Q$10),X$30&gt;$I$10,""),"")</f>
        <v/>
      </c>
      <c r="Y32" s="221" t="str" cm="1">
        <f t="array" ref="Y32">IFERROR(_xlfn.IFS(Y$30&lt;$K$10,0,Y$30&gt;=$K$10,-PPMT($H$10,Y$30,$I$10,Y$31,0,$Q$10),Y$30&gt;$I$10,""),"")</f>
        <v/>
      </c>
      <c r="Z32" s="221" t="str" cm="1">
        <f t="array" ref="Z32">IFERROR(_xlfn.IFS(Z$30&lt;$K$10,0,Z$30&gt;=$K$10,-PPMT($H$10,Z$30,$I$10,Z$31,0,$Q$10),Z$30&gt;$I$10,""),"")</f>
        <v/>
      </c>
      <c r="AA32" s="221" t="str" cm="1">
        <f t="array" ref="AA32">IFERROR(_xlfn.IFS(AA$30&lt;$K$10,0,AA$30&gt;=$K$10,-PPMT($H$10,AA$30,$I$10,AA$31,0,$Q$10),AA$30&gt;$I$10,""),"")</f>
        <v/>
      </c>
      <c r="AB32" s="221" t="str" cm="1">
        <f t="array" ref="AB32">IFERROR(_xlfn.IFS(AB$30&lt;$K$10,0,AB$30&gt;=$K$10,-PPMT($H$10,AB$30,$I$10,AB$31,0,$Q$10),AB$30&gt;$I$10,""),"")</f>
        <v/>
      </c>
      <c r="AC32" s="221" t="str" cm="1">
        <f t="array" ref="AC32">IFERROR(_xlfn.IFS(AC$30&lt;$K$10,0,AC$30&gt;=$K$10,-PPMT($H$10,AC$30,$I$10,AC$31,0,$Q$10),AC$30&gt;$I$10,""),"")</f>
        <v/>
      </c>
      <c r="AD32" s="221" t="str" cm="1">
        <f t="array" ref="AD32">IFERROR(_xlfn.IFS(AD$30&lt;$K$10,0,AD$30&gt;=$K$10,-PPMT($H$10,AD$30,$I$10,AD$31,0,$Q$10),AD$30&gt;$I$10,""),"")</f>
        <v/>
      </c>
      <c r="AE32" s="221" t="str" cm="1">
        <f t="array" ref="AE32">IFERROR(_xlfn.IFS(AE$30&lt;$K$10,0,AE$30&gt;=$K$10,-PPMT($H$10,AE$30,$I$10,AE$31,0,$Q$10),AE$30&gt;$I$10,""),"")</f>
        <v/>
      </c>
    </row>
    <row r="33" spans="1:37" ht="21" customHeight="1">
      <c r="A33" s="216" t="s">
        <v>109</v>
      </c>
      <c r="B33" s="217" t="str" cm="1">
        <f t="array" ref="B33">IFERROR(_xlfn.IFS(B$30&lt;$K$10,0,B$30&gt;=$K$10,-IPMT($H$10,B$30,$I$10,B$31,0,$Q$10),B$30&gt;$I$10,""),"")</f>
        <v/>
      </c>
      <c r="C33" s="217" t="str" cm="1">
        <f t="array" ref="C33">IFERROR(_xlfn.IFS(C$30&lt;$K$10,0,C$30&gt;=$K$10,-IPMT($H$10,C$30,$I$10,C$31,0,$Q$10),C$30&gt;$I$10,""),"")</f>
        <v/>
      </c>
      <c r="D33" s="217" t="str" cm="1">
        <f t="array" ref="D33">IFERROR(_xlfn.IFS(D$30&lt;$K$10,0,D$30&gt;=$K$10,-IPMT($H$10,D$30,$I$10,D$31,0,$Q$10),D$30&gt;$I$10,""),"")</f>
        <v/>
      </c>
      <c r="E33" s="217" t="str" cm="1">
        <f t="array" ref="E33">IFERROR(_xlfn.IFS(E$30&lt;$K$10,0,E$30&gt;=$K$10,-IPMT($H$10,E$30,$I$10,E$31,0,$Q$10),E$30&gt;$I$10,""),"")</f>
        <v/>
      </c>
      <c r="F33" s="217" t="str" cm="1">
        <f t="array" ref="F33">IFERROR(_xlfn.IFS(F$30&lt;$K$10,0,F$30&gt;=$K$10,-IPMT($H$10,F$30,$I$10,F$31,0,$Q$10),F$30&gt;$I$10,""),"")</f>
        <v/>
      </c>
      <c r="G33" s="217" t="str" cm="1">
        <f t="array" ref="G33">IFERROR(_xlfn.IFS(G$30&lt;$K$10,0,G$30&gt;=$K$10,-IPMT($H$10,G$30,$I$10,G$31,0,$Q$10),G$30&gt;$I$10,""),"")</f>
        <v/>
      </c>
      <c r="H33" s="217" t="str" cm="1">
        <f t="array" ref="H33">IFERROR(_xlfn.IFS(H$30&lt;$K$10,0,H$30&gt;=$K$10,-IPMT($H$10,H$30,$I$10,H$31,0,$Q$10),H$30&gt;$I$10,""),"")</f>
        <v/>
      </c>
      <c r="I33" s="217" t="str" cm="1">
        <f t="array" ref="I33">IFERROR(_xlfn.IFS(I$30&lt;$K$10,0,I$30&gt;=$K$10,-IPMT($H$10,I$30,$I$10,I$31,0,$Q$10),I$30&gt;$I$10,""),"")</f>
        <v/>
      </c>
      <c r="J33" s="217" t="str" cm="1">
        <f t="array" ref="J33">IFERROR(_xlfn.IFS(J$30&lt;$K$10,0,J$30&gt;=$K$10,-IPMT($H$10,J$30,$I$10,J$31,0,$Q$10),J$30&gt;$I$10,""),"")</f>
        <v/>
      </c>
      <c r="K33" s="217" t="str" cm="1">
        <f t="array" ref="K33">IFERROR(_xlfn.IFS(K$30&lt;$K$10,0,K$30&gt;=$K$10,-IPMT($H$10,K$30,$I$10,K$31,0,$Q$10),K$30&gt;$I$10,""),"")</f>
        <v/>
      </c>
      <c r="L33" s="217" t="str" cm="1">
        <f t="array" ref="L33">IFERROR(_xlfn.IFS(L$30&lt;$K$10,0,L$30&gt;=$K$10,-IPMT($H$10,L$30,$I$10,L$31,0,$Q$10),L$30&gt;$I$10,""),"")</f>
        <v/>
      </c>
      <c r="M33" s="217" t="str" cm="1">
        <f t="array" ref="M33">IFERROR(_xlfn.IFS(M$30&lt;$K$10,0,M$30&gt;=$K$10,-IPMT($H$10,M$30,$I$10,M$31,0,$Q$10),M$30&gt;$I$10,""),"")</f>
        <v/>
      </c>
      <c r="N33" s="217" t="str" cm="1">
        <f t="array" ref="N33">IFERROR(_xlfn.IFS(N$30&lt;$K$10,0,N$30&gt;=$K$10,-IPMT($H$10,N$30,$I$10,N$31,0,$Q$10),N$30&gt;$I$10,""),"")</f>
        <v/>
      </c>
      <c r="O33" s="217" t="str" cm="1">
        <f t="array" ref="O33">IFERROR(_xlfn.IFS(O$30&lt;$K$10,0,O$30&gt;=$K$10,-IPMT($H$10,O$30,$I$10,O$31,0,$Q$10),O$30&gt;$I$10,""),"")</f>
        <v/>
      </c>
      <c r="P33" s="217" t="str" cm="1">
        <f t="array" ref="P33">IFERROR(_xlfn.IFS(P$30&lt;$K$10,0,P$30&gt;=$K$10,-IPMT($H$10,P$30,$I$10,P$31,0,$Q$10),P$30&gt;$I$10,""),"")</f>
        <v/>
      </c>
      <c r="Q33" s="217" t="str" cm="1">
        <f t="array" ref="Q33">IFERROR(_xlfn.IFS(Q$30&lt;$K$10,0,Q$30&gt;=$K$10,-IPMT($H$10,Q$30,$I$10,Q$31,0,$Q$10),Q$30&gt;$I$10,""),"")</f>
        <v/>
      </c>
      <c r="R33" s="217" t="str" cm="1">
        <f t="array" ref="R33">IFERROR(_xlfn.IFS(R$30&lt;$K$10,0,R$30&gt;=$K$10,-IPMT($H$10,R$30,$I$10,R$31,0,$Q$10),R$30&gt;$I$10,""),"")</f>
        <v/>
      </c>
      <c r="S33" s="217" t="str" cm="1">
        <f t="array" ref="S33">IFERROR(_xlfn.IFS(S$30&lt;$K$10,0,S$30&gt;=$K$10,-IPMT($H$10,S$30,$I$10,S$31,0,$Q$10),S$30&gt;$I$10,""),"")</f>
        <v/>
      </c>
      <c r="T33" s="217" t="str" cm="1">
        <f t="array" ref="T33">IFERROR(_xlfn.IFS(T$30&lt;$K$10,0,T$30&gt;=$K$10,-IPMT($H$10,T$30,$I$10,T$31,0,$Q$10),T$30&gt;$I$10,""),"")</f>
        <v/>
      </c>
      <c r="U33" s="217" t="str" cm="1">
        <f t="array" ref="U33">IFERROR(_xlfn.IFS(U$30&lt;$K$10,0,U$30&gt;=$K$10,-IPMT($H$10,U$30,$I$10,U$31,0,$Q$10),U$30&gt;$I$10,""),"")</f>
        <v/>
      </c>
      <c r="V33" s="217" t="str" cm="1">
        <f t="array" ref="V33">IFERROR(_xlfn.IFS(V$30&lt;$K$10,0,V$30&gt;=$K$10,-IPMT($H$10,V$30,$I$10,V$31,0,$Q$10),V$30&gt;$I$10,""),"")</f>
        <v/>
      </c>
      <c r="W33" s="217" t="str" cm="1">
        <f t="array" ref="W33">IFERROR(_xlfn.IFS(W$30&lt;$K$10,0,W$30&gt;=$K$10,-IPMT($H$10,W$30,$I$10,W$31,0,$Q$10),W$30&gt;$I$10,""),"")</f>
        <v/>
      </c>
      <c r="X33" s="217" t="str" cm="1">
        <f t="array" ref="X33">IFERROR(_xlfn.IFS(X$30&lt;$K$10,0,X$30&gt;=$K$10,-IPMT($H$10,X$30,$I$10,X$31,0,$Q$10),X$30&gt;$I$10,""),"")</f>
        <v/>
      </c>
      <c r="Y33" s="217" t="str" cm="1">
        <f t="array" ref="Y33">IFERROR(_xlfn.IFS(Y$30&lt;$K$10,0,Y$30&gt;=$K$10,-IPMT($H$10,Y$30,$I$10,Y$31,0,$Q$10),Y$30&gt;$I$10,""),"")</f>
        <v/>
      </c>
      <c r="Z33" s="217" t="str" cm="1">
        <f t="array" ref="Z33">IFERROR(_xlfn.IFS(Z$30&lt;$K$10,0,Z$30&gt;=$K$10,-IPMT($H$10,Z$30,$I$10,Z$31,0,$Q$10),Z$30&gt;$I$10,""),"")</f>
        <v/>
      </c>
      <c r="AA33" s="217" t="str" cm="1">
        <f t="array" ref="AA33">IFERROR(_xlfn.IFS(AA$30&lt;$K$10,0,AA$30&gt;=$K$10,-IPMT($H$10,AA$30,$I$10,AA$31,0,$Q$10),AA$30&gt;$I$10,""),"")</f>
        <v/>
      </c>
      <c r="AB33" s="217" t="str" cm="1">
        <f t="array" ref="AB33">IFERROR(_xlfn.IFS(AB$30&lt;$K$10,0,AB$30&gt;=$K$10,-IPMT($H$10,AB$30,$I$10,AB$31,0,$Q$10),AB$30&gt;$I$10,""),"")</f>
        <v/>
      </c>
      <c r="AC33" s="217" t="str" cm="1">
        <f t="array" ref="AC33">IFERROR(_xlfn.IFS(AC$30&lt;$K$10,0,AC$30&gt;=$K$10,-IPMT($H$10,AC$30,$I$10,AC$31,0,$Q$10),AC$30&gt;$I$10,""),"")</f>
        <v/>
      </c>
      <c r="AD33" s="217" t="str" cm="1">
        <f t="array" ref="AD33">IFERROR(_xlfn.IFS(AD$30&lt;$K$10,0,AD$30&gt;=$K$10,-IPMT($H$10,AD$30,$I$10,AD$31,0,$Q$10),AD$30&gt;$I$10,""),"")</f>
        <v/>
      </c>
      <c r="AE33" s="217" t="str" cm="1">
        <f t="array" ref="AE33">IFERROR(_xlfn.IFS(AE$30&lt;$K$10,0,AE$30&gt;=$K$10,-IPMT($H$10,AE$30,$I$10,AE$31,0,$Q$10),AE$30&gt;$I$10,""),"")</f>
        <v/>
      </c>
    </row>
    <row r="34" spans="1:37" ht="21" customHeight="1">
      <c r="A34" s="355" t="s">
        <v>110</v>
      </c>
      <c r="B34" s="218" t="str" cm="1">
        <f t="array" ref="B34">IFERROR(_xlfn.IFS(B$30&lt;$K$10,0,B$30&gt;=$K$10,-CUMIPMT($H$10/$O$10,$I$10,B$31,B$30,$I$10,$Q$10),B$30&gt;$I$10,""),"")</f>
        <v/>
      </c>
      <c r="C34" s="218" t="str" cm="1">
        <f t="array" ref="C34">IFERROR(_xlfn.IFS(C$30&lt;$K$10,0,C$30&gt;=$K$10,-CUMIPMT($H$10/$O$10,$I$10,C$31,C$30,$I$10,$Q$10),C$30&gt;$I$10,""),"")</f>
        <v/>
      </c>
      <c r="D34" s="218" t="str" cm="1">
        <f t="array" ref="D34">IFERROR(_xlfn.IFS(D$30&lt;$K$10,0,D$30&gt;=$K$10,-CUMIPMT($H$10/$O$10,$I$10,D$31,D$30,$I$10,$Q$10),D$30&gt;$I$10,""),"")</f>
        <v/>
      </c>
      <c r="E34" s="218" t="str" cm="1">
        <f t="array" ref="E34">IFERROR(_xlfn.IFS(E$30&lt;$K$10,0,E$30&gt;=$K$10,-CUMIPMT($H$10/$O$10,$I$10,E$31,E$30,$I$10,$Q$10),E$30&gt;$I$10,""),"")</f>
        <v/>
      </c>
      <c r="F34" s="218" t="str" cm="1">
        <f t="array" ref="F34">IFERROR(_xlfn.IFS(F$30&lt;$K$10,0,F$30&gt;=$K$10,-CUMIPMT($H$10/$O$10,$I$10,F$31,F$30,$I$10,$Q$10),F$30&gt;$I$10,""),"")</f>
        <v/>
      </c>
      <c r="G34" s="218" t="str" cm="1">
        <f t="array" ref="G34">IFERROR(_xlfn.IFS(G$30&lt;$K$10,0,G$30&gt;=$K$10,-CUMIPMT($H$10/$O$10,$I$10,G$31,G$30,$I$10,$Q$10),G$30&gt;$I$10,""),"")</f>
        <v/>
      </c>
      <c r="H34" s="218" t="str" cm="1">
        <f t="array" ref="H34">IFERROR(_xlfn.IFS(H$30&lt;$K$10,0,H$30&gt;=$K$10,-CUMIPMT($H$10/$O$10,$I$10,H$31,H$30,$I$10,$Q$10),H$30&gt;$I$10,""),"")</f>
        <v/>
      </c>
      <c r="I34" s="218" t="str" cm="1">
        <f t="array" ref="I34">IFERROR(_xlfn.IFS(I$30&lt;$K$10,0,I$30&gt;=$K$10,-CUMIPMT($H$10/$O$10,$I$10,I$31,I$30,$I$10,$Q$10),I$30&gt;$I$10,""),"")</f>
        <v/>
      </c>
      <c r="J34" s="218" t="str" cm="1">
        <f t="array" ref="J34">IFERROR(_xlfn.IFS(J$30&lt;$K$10,0,J$30&gt;=$K$10,-CUMIPMT($H$10/$O$10,$I$10,J$31,J$30,$I$10,$Q$10),J$30&gt;$I$10,""),"")</f>
        <v/>
      </c>
      <c r="K34" s="218" t="str" cm="1">
        <f t="array" ref="K34">IFERROR(_xlfn.IFS(K$30&lt;$K$10,0,K$30&gt;=$K$10,-CUMIPMT($H$10/$O$10,$I$10,K$31,K$30,$I$10,$Q$10),K$30&gt;$I$10,""),"")</f>
        <v/>
      </c>
      <c r="L34" s="218" t="str" cm="1">
        <f t="array" ref="L34">IFERROR(_xlfn.IFS(L$30&lt;$K$10,0,L$30&gt;=$K$10,-CUMIPMT($H$10/$O$10,$I$10,L$31,L$30,$I$10,$Q$10),L$30&gt;$I$10,""),"")</f>
        <v/>
      </c>
      <c r="M34" s="218" t="str" cm="1">
        <f t="array" ref="M34">IFERROR(_xlfn.IFS(M$30&lt;$K$10,0,M$30&gt;=$K$10,-CUMIPMT($H$10/$O$10,$I$10,M$31,M$30,$I$10,$Q$10),M$30&gt;$I$10,""),"")</f>
        <v/>
      </c>
      <c r="N34" s="218" t="str" cm="1">
        <f t="array" ref="N34">IFERROR(_xlfn.IFS(N$30&lt;$K$10,0,N$30&gt;=$K$10,-CUMIPMT($H$10/$O$10,$I$10,N$31,N$30,$I$10,$Q$10),N$30&gt;$I$10,""),"")</f>
        <v/>
      </c>
      <c r="O34" s="218" t="str" cm="1">
        <f t="array" ref="O34">IFERROR(_xlfn.IFS(O$30&lt;$K$10,0,O$30&gt;=$K$10,-CUMIPMT($H$10/$O$10,$I$10,O$31,O$30,$I$10,$Q$10),O$30&gt;$I$10,""),"")</f>
        <v/>
      </c>
      <c r="P34" s="218" t="str" cm="1">
        <f t="array" ref="P34">IFERROR(_xlfn.IFS(P$30&lt;$K$10,0,P$30&gt;=$K$10,-CUMIPMT($H$10/$O$10,$I$10,P$31,P$30,$I$10,$Q$10),P$30&gt;$I$10,""),"")</f>
        <v/>
      </c>
      <c r="Q34" s="218" t="str" cm="1">
        <f t="array" ref="Q34">IFERROR(_xlfn.IFS(Q$30&lt;$K$10,0,Q$30&gt;=$K$10,-CUMIPMT($H$10/$O$10,$I$10,Q$31,Q$30,$I$10,$Q$10),Q$30&gt;$I$10,""),"")</f>
        <v/>
      </c>
      <c r="R34" s="218" t="str" cm="1">
        <f t="array" ref="R34">IFERROR(_xlfn.IFS(R$30&lt;$K$10,0,R$30&gt;=$K$10,-CUMIPMT($H$10/$O$10,$I$10,R$31,R$30,$I$10,$Q$10),R$30&gt;$I$10,""),"")</f>
        <v/>
      </c>
      <c r="S34" s="218" t="str" cm="1">
        <f t="array" ref="S34">IFERROR(_xlfn.IFS(S$30&lt;$K$10,0,S$30&gt;=$K$10,-CUMIPMT($H$10/$O$10,$I$10,S$31,S$30,$I$10,$Q$10),S$30&gt;$I$10,""),"")</f>
        <v/>
      </c>
      <c r="T34" s="218" t="str" cm="1">
        <f t="array" ref="T34">IFERROR(_xlfn.IFS(T$30&lt;$K$10,0,T$30&gt;=$K$10,-CUMIPMT($H$10/$O$10,$I$10,T$31,T$30,$I$10,$Q$10),T$30&gt;$I$10,""),"")</f>
        <v/>
      </c>
      <c r="U34" s="218" t="str" cm="1">
        <f t="array" ref="U34">IFERROR(_xlfn.IFS(U$30&lt;$K$10,0,U$30&gt;=$K$10,-CUMIPMT($H$10/$O$10,$I$10,U$31,U$30,$I$10,$Q$10),U$30&gt;$I$10,""),"")</f>
        <v/>
      </c>
      <c r="V34" s="218" t="str" cm="1">
        <f t="array" ref="V34">IFERROR(_xlfn.IFS(V$30&lt;$K$10,0,V$30&gt;=$K$10,-CUMIPMT($H$10/$O$10,$I$10,V$31,V$30,$I$10,$Q$10),V$30&gt;$I$10,""),"")</f>
        <v/>
      </c>
      <c r="W34" s="218" t="str" cm="1">
        <f t="array" ref="W34">IFERROR(_xlfn.IFS(W$30&lt;$K$10,0,W$30&gt;=$K$10,-CUMIPMT($H$10/$O$10,$I$10,W$31,W$30,$I$10,$Q$10),W$30&gt;$I$10,""),"")</f>
        <v/>
      </c>
      <c r="X34" s="218" t="str" cm="1">
        <f t="array" ref="X34">IFERROR(_xlfn.IFS(X$30&lt;$K$10,0,X$30&gt;=$K$10,-CUMIPMT($H$10/$O$10,$I$10,X$31,X$30,$I$10,$Q$10),X$30&gt;$I$10,""),"")</f>
        <v/>
      </c>
      <c r="Y34" s="218" t="str" cm="1">
        <f t="array" ref="Y34">IFERROR(_xlfn.IFS(Y$30&lt;$K$10,0,Y$30&gt;=$K$10,-CUMIPMT($H$10/$O$10,$I$10,Y$31,Y$30,$I$10,$Q$10),Y$30&gt;$I$10,""),"")</f>
        <v/>
      </c>
      <c r="Z34" s="218" t="str" cm="1">
        <f t="array" ref="Z34">IFERROR(_xlfn.IFS(Z$30&lt;$K$10,0,Z$30&gt;=$K$10,-CUMIPMT($H$10/$O$10,$I$10,Z$31,Z$30,$I$10,$Q$10),Z$30&gt;$I$10,""),"")</f>
        <v/>
      </c>
      <c r="AA34" s="218" t="str" cm="1">
        <f t="array" ref="AA34">IFERROR(_xlfn.IFS(AA$30&lt;$K$10,0,AA$30&gt;=$K$10,-CUMIPMT($H$10/$O$10,$I$10,AA$31,AA$30,$I$10,$Q$10),AA$30&gt;$I$10,""),"")</f>
        <v/>
      </c>
      <c r="AB34" s="218" t="str" cm="1">
        <f t="array" ref="AB34">IFERROR(_xlfn.IFS(AB$30&lt;$K$10,0,AB$30&gt;=$K$10,-CUMIPMT($H$10/$O$10,$I$10,AB$31,AB$30,$I$10,$Q$10),AB$30&gt;$I$10,""),"")</f>
        <v/>
      </c>
      <c r="AC34" s="218" t="str" cm="1">
        <f t="array" ref="AC34">IFERROR(_xlfn.IFS(AC$30&lt;$K$10,0,AC$30&gt;=$K$10,-CUMIPMT($H$10/$O$10,$I$10,AC$31,AC$30,$I$10,$Q$10),AC$30&gt;$I$10,""),"")</f>
        <v/>
      </c>
      <c r="AD34" s="218" t="str" cm="1">
        <f t="array" ref="AD34">IFERROR(_xlfn.IFS(AD$30&lt;$K$10,0,AD$30&gt;=$K$10,-CUMIPMT($H$10/$O$10,$I$10,AD$31,AD$30,$I$10,$Q$10),AD$30&gt;$I$10,""),"")</f>
        <v/>
      </c>
      <c r="AE34" s="218" t="str" cm="1">
        <f t="array" ref="AE34">IFERROR(_xlfn.IFS(AE$30&lt;$K$10,0,AE$30&gt;=$K$10,-CUMIPMT($H$10/$O$10,$I$10,AE$31,AE$30,$I$10,$Q$10),AE$30&gt;$I$10,""),"")</f>
        <v/>
      </c>
    </row>
    <row r="35" spans="1:37" ht="21" customHeight="1">
      <c r="A35" s="4" t="s">
        <v>111</v>
      </c>
      <c r="B35" s="214" t="str">
        <f>IFERROR(B31-B32-B33+B34,"")</f>
        <v/>
      </c>
      <c r="C35" s="214" t="str">
        <f>IFERROR(C31-C32-C33+C34,"")</f>
        <v/>
      </c>
      <c r="D35" s="214" t="str">
        <f t="shared" ref="D35:AE35" si="17">IFERROR(D31-D32-D33+D34,"")</f>
        <v/>
      </c>
      <c r="E35" s="214" t="str">
        <f t="shared" si="17"/>
        <v/>
      </c>
      <c r="F35" s="214" t="str">
        <f t="shared" si="17"/>
        <v/>
      </c>
      <c r="G35" s="214" t="str">
        <f t="shared" si="17"/>
        <v/>
      </c>
      <c r="H35" s="214" t="str">
        <f t="shared" si="17"/>
        <v/>
      </c>
      <c r="I35" s="214" t="str">
        <f t="shared" si="17"/>
        <v/>
      </c>
      <c r="J35" s="214" t="str">
        <f t="shared" si="17"/>
        <v/>
      </c>
      <c r="K35" s="214" t="str">
        <f t="shared" si="17"/>
        <v/>
      </c>
      <c r="L35" s="214" t="str">
        <f t="shared" si="17"/>
        <v/>
      </c>
      <c r="M35" s="214" t="str">
        <f t="shared" si="17"/>
        <v/>
      </c>
      <c r="N35" s="214" t="str">
        <f t="shared" si="17"/>
        <v/>
      </c>
      <c r="O35" s="214" t="str">
        <f t="shared" si="17"/>
        <v/>
      </c>
      <c r="P35" s="214" t="str">
        <f t="shared" si="17"/>
        <v/>
      </c>
      <c r="Q35" s="214" t="str">
        <f t="shared" si="17"/>
        <v/>
      </c>
      <c r="R35" s="214" t="str">
        <f t="shared" si="17"/>
        <v/>
      </c>
      <c r="S35" s="214" t="str">
        <f t="shared" si="17"/>
        <v/>
      </c>
      <c r="T35" s="214" t="str">
        <f t="shared" si="17"/>
        <v/>
      </c>
      <c r="U35" s="214" t="str">
        <f t="shared" si="17"/>
        <v/>
      </c>
      <c r="V35" s="214" t="str">
        <f t="shared" si="17"/>
        <v/>
      </c>
      <c r="W35" s="214" t="str">
        <f t="shared" si="17"/>
        <v/>
      </c>
      <c r="X35" s="214" t="str">
        <f t="shared" si="17"/>
        <v/>
      </c>
      <c r="Y35" s="214" t="str">
        <f t="shared" si="17"/>
        <v/>
      </c>
      <c r="Z35" s="214" t="str">
        <f t="shared" si="17"/>
        <v/>
      </c>
      <c r="AA35" s="214" t="str">
        <f t="shared" si="17"/>
        <v/>
      </c>
      <c r="AB35" s="214" t="str">
        <f t="shared" si="17"/>
        <v/>
      </c>
      <c r="AC35" s="214" t="str">
        <f t="shared" si="17"/>
        <v/>
      </c>
      <c r="AD35" s="214" t="str">
        <f t="shared" si="17"/>
        <v/>
      </c>
      <c r="AE35" s="214" t="str">
        <f t="shared" si="17"/>
        <v/>
      </c>
    </row>
    <row r="36" spans="1:37" s="4" customFormat="1" ht="20.25" customHeight="1" thickBot="1">
      <c r="C36" s="222"/>
      <c r="O36" s="3"/>
      <c r="AF36" s="223"/>
      <c r="AG36" s="223"/>
      <c r="AH36" s="223"/>
      <c r="AI36" s="223"/>
      <c r="AJ36" s="223"/>
      <c r="AK36" s="223"/>
    </row>
    <row r="37" spans="1:37" s="261" customFormat="1" ht="27" customHeight="1">
      <c r="A37" s="255" t="s">
        <v>114</v>
      </c>
      <c r="B37" s="256"/>
      <c r="C37" s="255"/>
      <c r="D37" s="255"/>
      <c r="E37" s="255"/>
      <c r="F37" s="256"/>
      <c r="G37" s="262"/>
      <c r="H37" s="263"/>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row>
    <row r="38" spans="1:37" ht="21" customHeight="1">
      <c r="A38" s="5"/>
      <c r="B38" s="303">
        <v>1</v>
      </c>
      <c r="C38" s="212" t="str">
        <f>IFERROR(IF((B38+1&lt;=($J$11)),B38+1,""),"")</f>
        <v/>
      </c>
      <c r="D38" s="212" t="str">
        <f t="shared" ref="D38:AE38" si="18">IFERROR(IF((C38+1&lt;=($J$11)),C38+1,""),"")</f>
        <v/>
      </c>
      <c r="E38" s="212" t="str">
        <f t="shared" si="18"/>
        <v/>
      </c>
      <c r="F38" s="212" t="str">
        <f t="shared" si="18"/>
        <v/>
      </c>
      <c r="G38" s="212" t="str">
        <f t="shared" si="18"/>
        <v/>
      </c>
      <c r="H38" s="212" t="str">
        <f t="shared" si="18"/>
        <v/>
      </c>
      <c r="I38" s="212" t="str">
        <f t="shared" si="18"/>
        <v/>
      </c>
      <c r="J38" s="212" t="str">
        <f t="shared" si="18"/>
        <v/>
      </c>
      <c r="K38" s="212" t="str">
        <f t="shared" si="18"/>
        <v/>
      </c>
      <c r="L38" s="212" t="str">
        <f t="shared" si="18"/>
        <v/>
      </c>
      <c r="M38" s="212" t="str">
        <f t="shared" si="18"/>
        <v/>
      </c>
      <c r="N38" s="212" t="str">
        <f t="shared" si="18"/>
        <v/>
      </c>
      <c r="O38" s="212" t="str">
        <f t="shared" si="18"/>
        <v/>
      </c>
      <c r="P38" s="212" t="str">
        <f t="shared" si="18"/>
        <v/>
      </c>
      <c r="Q38" s="212" t="str">
        <f t="shared" si="18"/>
        <v/>
      </c>
      <c r="R38" s="212" t="str">
        <f t="shared" si="18"/>
        <v/>
      </c>
      <c r="S38" s="212" t="str">
        <f t="shared" si="18"/>
        <v/>
      </c>
      <c r="T38" s="212" t="str">
        <f t="shared" si="18"/>
        <v/>
      </c>
      <c r="U38" s="212" t="str">
        <f t="shared" si="18"/>
        <v/>
      </c>
      <c r="V38" s="212" t="str">
        <f t="shared" si="18"/>
        <v/>
      </c>
      <c r="W38" s="212" t="str">
        <f t="shared" si="18"/>
        <v/>
      </c>
      <c r="X38" s="212" t="str">
        <f t="shared" si="18"/>
        <v/>
      </c>
      <c r="Y38" s="212" t="str">
        <f t="shared" si="18"/>
        <v/>
      </c>
      <c r="Z38" s="212" t="str">
        <f t="shared" si="18"/>
        <v/>
      </c>
      <c r="AA38" s="212" t="str">
        <f t="shared" si="18"/>
        <v/>
      </c>
      <c r="AB38" s="212" t="str">
        <f t="shared" si="18"/>
        <v/>
      </c>
      <c r="AC38" s="212" t="str">
        <f t="shared" si="18"/>
        <v/>
      </c>
      <c r="AD38" s="212" t="str">
        <f t="shared" si="18"/>
        <v/>
      </c>
      <c r="AE38" s="212" t="str">
        <f t="shared" si="18"/>
        <v/>
      </c>
      <c r="AF38" s="4"/>
    </row>
    <row r="39" spans="1:37" ht="21" customHeight="1">
      <c r="A39" s="224" t="s">
        <v>107</v>
      </c>
      <c r="B39" s="215" t="str">
        <f>IFERROR(IF(B$38&lt;=$J$11,$G$11,""),"")</f>
        <v/>
      </c>
      <c r="C39" s="215" t="str">
        <f>IFERROR(IF(C$38&lt;=$J$11,B$43,""),"")</f>
        <v/>
      </c>
      <c r="D39" s="215" t="str">
        <f t="shared" ref="D39:AE39" si="19">IFERROR(IF(D$38&lt;=$J$11,C$43,""),"")</f>
        <v/>
      </c>
      <c r="E39" s="215" t="str">
        <f t="shared" si="19"/>
        <v/>
      </c>
      <c r="F39" s="215" t="str">
        <f t="shared" si="19"/>
        <v/>
      </c>
      <c r="G39" s="215" t="str">
        <f t="shared" si="19"/>
        <v/>
      </c>
      <c r="H39" s="215" t="str">
        <f t="shared" si="19"/>
        <v/>
      </c>
      <c r="I39" s="215" t="str">
        <f t="shared" si="19"/>
        <v/>
      </c>
      <c r="J39" s="215" t="str">
        <f t="shared" si="19"/>
        <v/>
      </c>
      <c r="K39" s="215" t="str">
        <f t="shared" si="19"/>
        <v/>
      </c>
      <c r="L39" s="215" t="str">
        <f t="shared" si="19"/>
        <v/>
      </c>
      <c r="M39" s="215" t="str">
        <f t="shared" si="19"/>
        <v/>
      </c>
      <c r="N39" s="215" t="str">
        <f t="shared" si="19"/>
        <v/>
      </c>
      <c r="O39" s="215" t="str">
        <f t="shared" si="19"/>
        <v/>
      </c>
      <c r="P39" s="215" t="str">
        <f t="shared" si="19"/>
        <v/>
      </c>
      <c r="Q39" s="215" t="str">
        <f t="shared" si="19"/>
        <v/>
      </c>
      <c r="R39" s="215" t="str">
        <f t="shared" si="19"/>
        <v/>
      </c>
      <c r="S39" s="215" t="str">
        <f t="shared" si="19"/>
        <v/>
      </c>
      <c r="T39" s="215" t="str">
        <f t="shared" si="19"/>
        <v/>
      </c>
      <c r="U39" s="215" t="str">
        <f t="shared" si="19"/>
        <v/>
      </c>
      <c r="V39" s="215" t="str">
        <f t="shared" si="19"/>
        <v/>
      </c>
      <c r="W39" s="215" t="str">
        <f t="shared" si="19"/>
        <v/>
      </c>
      <c r="X39" s="215" t="str">
        <f t="shared" si="19"/>
        <v/>
      </c>
      <c r="Y39" s="215" t="str">
        <f t="shared" si="19"/>
        <v/>
      </c>
      <c r="Z39" s="215" t="str">
        <f t="shared" si="19"/>
        <v/>
      </c>
      <c r="AA39" s="215" t="str">
        <f t="shared" si="19"/>
        <v/>
      </c>
      <c r="AB39" s="215" t="str">
        <f t="shared" si="19"/>
        <v/>
      </c>
      <c r="AC39" s="215" t="str">
        <f t="shared" si="19"/>
        <v/>
      </c>
      <c r="AD39" s="215" t="str">
        <f t="shared" si="19"/>
        <v/>
      </c>
      <c r="AE39" s="215" t="str">
        <f t="shared" si="19"/>
        <v/>
      </c>
    </row>
    <row r="40" spans="1:37" ht="21" customHeight="1">
      <c r="A40" s="225" t="s">
        <v>108</v>
      </c>
      <c r="B40" s="221" t="str" cm="1">
        <f t="array" ref="B40">IFERROR(_xlfn.IFS(B$38&lt;$K$11,0,B$38&gt;=$K$11,-PPMT($H$11,B$38,$J$11,B$39,0,$Q$11),B$38&gt;$J$11,""),"")</f>
        <v/>
      </c>
      <c r="C40" s="221" t="str" cm="1">
        <f t="array" ref="C40">IFERROR(_xlfn.IFS(C$38&lt;$K$11,0,C$38&gt;=$K$11,-PPMT($H$11,C$38,$J$11,C$39,0,$Q$11),C$38&gt;$J$11,""),"")</f>
        <v/>
      </c>
      <c r="D40" s="221" t="str" cm="1">
        <f t="array" ref="D40">IFERROR(_xlfn.IFS(D$38&lt;$K$11,0,D$38&gt;=$K$11,-PPMT($H$11,D$38,$J$11,D$39,0,$Q$11),D$38&gt;$J$11,""),"")</f>
        <v/>
      </c>
      <c r="E40" s="221" t="str" cm="1">
        <f t="array" ref="E40">IFERROR(_xlfn.IFS(E$38&lt;$K$11,0,E$38&gt;=$K$11,-PPMT($H$11,E$38,$J$11,E$39,0,$Q$11),E$38&gt;$J$11,""),"")</f>
        <v/>
      </c>
      <c r="F40" s="221" t="str" cm="1">
        <f t="array" ref="F40">IFERROR(_xlfn.IFS(F$38&lt;$K$11,0,F$38&gt;=$K$11,-PPMT($H$11,F$38,$J$11,F$39,0,$Q$11),F$38&gt;$J$11,""),"")</f>
        <v/>
      </c>
      <c r="G40" s="221" t="str" cm="1">
        <f t="array" ref="G40">IFERROR(_xlfn.IFS(G$38&lt;$K$11,0,G$38&gt;=$K$11,-PPMT($H$11,G$38,$J$11,G$39,0,$Q$11),G$38&gt;$J$11,""),"")</f>
        <v/>
      </c>
      <c r="H40" s="221" t="str" cm="1">
        <f t="array" ref="H40">IFERROR(_xlfn.IFS(H$38&lt;$K$11,0,H$38&gt;=$K$11,-PPMT($H$11,H$38,$J$11,H$39,0,$Q$11),H$38&gt;$J$11,""),"")</f>
        <v/>
      </c>
      <c r="I40" s="221" t="str" cm="1">
        <f t="array" ref="I40">IFERROR(_xlfn.IFS(I$38&lt;$K$11,0,I$38&gt;=$K$11,-PPMT($H$11,I$38,$J$11,I$39,0,$Q$11),I$38&gt;$J$11,""),"")</f>
        <v/>
      </c>
      <c r="J40" s="221" t="str" cm="1">
        <f t="array" ref="J40">IFERROR(_xlfn.IFS(J$38&lt;$K$11,0,J$38&gt;=$K$11,-PPMT($H$11,J$38,$J$11,J$39,0,$Q$11),J$38&gt;$J$11,""),"")</f>
        <v/>
      </c>
      <c r="K40" s="221" t="str" cm="1">
        <f t="array" ref="K40">IFERROR(_xlfn.IFS(K$38&lt;$K$11,0,K$38&gt;=$K$11,-PPMT($H$11,K$38,$J$11,K$39,0,$Q$11),K$38&gt;$J$11,""),"")</f>
        <v/>
      </c>
      <c r="L40" s="221" t="str" cm="1">
        <f t="array" ref="L40">IFERROR(_xlfn.IFS(L$38&lt;$K$11,0,L$38&gt;=$K$11,-PPMT($H$11,L$38,$J$11,L$39,0,$Q$11),L$38&gt;$J$11,""),"")</f>
        <v/>
      </c>
      <c r="M40" s="221" t="str" cm="1">
        <f t="array" ref="M40">IFERROR(_xlfn.IFS(M$38&lt;$K$11,0,M$38&gt;=$K$11,-PPMT($H$11,M$38,$J$11,M$39,0,$Q$11),M$38&gt;$J$11,""),"")</f>
        <v/>
      </c>
      <c r="N40" s="221" t="str" cm="1">
        <f t="array" ref="N40">IFERROR(_xlfn.IFS(N$38&lt;$K$11,0,N$38&gt;=$K$11,-PPMT($H$11,N$38,$J$11,N$39,0,$Q$11),N$38&gt;$J$11,""),"")</f>
        <v/>
      </c>
      <c r="O40" s="221" t="str" cm="1">
        <f t="array" ref="O40">IFERROR(_xlfn.IFS(O$38&lt;$K$11,0,O$38&gt;=$K$11,-PPMT($H$11,O$38,$J$11,O$39,0,$Q$11),O$38&gt;$J$11,""),"")</f>
        <v/>
      </c>
      <c r="P40" s="221" t="str" cm="1">
        <f t="array" ref="P40">IFERROR(_xlfn.IFS(P$38&lt;$K$11,0,P$38&gt;=$K$11,-PPMT($H$11,P$38,$J$11,P$39,0,$Q$11),P$38&gt;$J$11,""),"")</f>
        <v/>
      </c>
      <c r="Q40" s="221" t="str" cm="1">
        <f t="array" ref="Q40">IFERROR(_xlfn.IFS(Q$38&lt;$K$11,0,Q$38&gt;=$K$11,-PPMT($H$11,Q$38,$J$11,Q$39,0,$Q$11),Q$38&gt;$J$11,""),"")</f>
        <v/>
      </c>
      <c r="R40" s="221" t="str" cm="1">
        <f t="array" ref="R40">IFERROR(_xlfn.IFS(R$38&lt;$K$11,0,R$38&gt;=$K$11,-PPMT($H$11,R$38,$J$11,R$39,0,$Q$11),R$38&gt;$J$11,""),"")</f>
        <v/>
      </c>
      <c r="S40" s="221" t="str" cm="1">
        <f t="array" ref="S40">IFERROR(_xlfn.IFS(S$38&lt;$K$11,0,S$38&gt;=$K$11,-PPMT($H$11,S$38,$J$11,S$39,0,$Q$11),S$38&gt;$J$11,""),"")</f>
        <v/>
      </c>
      <c r="T40" s="221" t="str" cm="1">
        <f t="array" ref="T40">IFERROR(_xlfn.IFS(T$38&lt;$K$11,0,T$38&gt;=$K$11,-PPMT($H$11,T$38,$J$11,T$39,0,$Q$11),T$38&gt;$J$11,""),"")</f>
        <v/>
      </c>
      <c r="U40" s="221" t="str" cm="1">
        <f t="array" ref="U40">IFERROR(_xlfn.IFS(U$38&lt;$K$11,0,U$38&gt;=$K$11,-PPMT($H$11,U$38,$J$11,U$39,0,$Q$11),U$38&gt;$J$11,""),"")</f>
        <v/>
      </c>
      <c r="V40" s="221" t="str" cm="1">
        <f t="array" ref="V40">IFERROR(_xlfn.IFS(V$38&lt;$K$11,0,V$38&gt;=$K$11,-PPMT($H$11,V$38,$J$11,V$39,0,$Q$11),V$38&gt;$J$11,""),"")</f>
        <v/>
      </c>
      <c r="W40" s="221" t="str" cm="1">
        <f t="array" ref="W40">IFERROR(_xlfn.IFS(W$38&lt;$K$11,0,W$38&gt;=$K$11,-PPMT($H$11,W$38,$J$11,W$39,0,$Q$11),W$38&gt;$J$11,""),"")</f>
        <v/>
      </c>
      <c r="X40" s="221" t="str" cm="1">
        <f t="array" ref="X40">IFERROR(_xlfn.IFS(X$38&lt;$K$11,0,X$38&gt;=$K$11,-PPMT($H$11,X$38,$J$11,X$39,0,$Q$11),X$38&gt;$J$11,""),"")</f>
        <v/>
      </c>
      <c r="Y40" s="221" t="str" cm="1">
        <f t="array" ref="Y40">IFERROR(_xlfn.IFS(Y$38&lt;$K$11,0,Y$38&gt;=$K$11,-PPMT($H$11,Y$38,$J$11,Y$39,0,$Q$11),Y$38&gt;$J$11,""),"")</f>
        <v/>
      </c>
      <c r="Z40" s="221" t="str" cm="1">
        <f t="array" ref="Z40">IFERROR(_xlfn.IFS(Z$38&lt;$K$11,0,Z$38&gt;=$K$11,-PPMT($H$11,Z$38,$J$11,Z$39,0,$Q$11),Z$38&gt;$J$11,""),"")</f>
        <v/>
      </c>
      <c r="AA40" s="221" t="str" cm="1">
        <f t="array" ref="AA40">IFERROR(_xlfn.IFS(AA$38&lt;$K$11,0,AA$38&gt;=$K$11,-PPMT($H$11,AA$38,$J$11,AA$39,0,$Q$11),AA$38&gt;$J$11,""),"")</f>
        <v/>
      </c>
      <c r="AB40" s="221" t="str" cm="1">
        <f t="array" ref="AB40">IFERROR(_xlfn.IFS(AB$38&lt;$K$11,0,AB$38&gt;=$K$11,-PPMT($H$11,AB$38,$J$11,AB$39,0,$Q$11),AB$38&gt;$J$11,""),"")</f>
        <v/>
      </c>
      <c r="AC40" s="221" t="str" cm="1">
        <f t="array" ref="AC40">IFERROR(_xlfn.IFS(AC$38&lt;$K$11,0,AC$38&gt;=$K$11,-PPMT($H$11,AC$38,$J$11,AC$39,0,$Q$11),AC$38&gt;$J$11,""),"")</f>
        <v/>
      </c>
      <c r="AD40" s="221" t="str" cm="1">
        <f t="array" ref="AD40">IFERROR(_xlfn.IFS(AD$38&lt;$K$11,0,AD$38&gt;=$K$11,-PPMT($H$11,AD$38,$J$11,AD$39,0,$Q$11),AD$38&gt;$J$11,""),"")</f>
        <v/>
      </c>
      <c r="AE40" s="221" t="str" cm="1">
        <f t="array" ref="AE40">IFERROR(_xlfn.IFS(AE$38&lt;$K$11,0,AE$38&gt;=$K$11,-PPMT($H$11,AE$38,$J$11,AE$39,0,$Q$11),AE$38&gt;$J$11,""),"")</f>
        <v/>
      </c>
    </row>
    <row r="41" spans="1:37" ht="21" customHeight="1">
      <c r="A41" s="225" t="s">
        <v>109</v>
      </c>
      <c r="B41" s="217" t="str" cm="1">
        <f t="array" ref="B41">IFERROR(_xlfn.IFS(B$38&lt;$K$11,0,B$38&gt;=$K$11,-IPMT($H$11,B$38,$J$11,B$39,0,$Q$11),B$38&gt;$J$11,""),"")</f>
        <v/>
      </c>
      <c r="C41" s="217" t="str" cm="1">
        <f t="array" ref="C41">IFERROR(_xlfn.IFS(C$38&lt;$K$11,0,C$38&gt;=$K$11,-IPMT($H$11,C$38,$J$11,C$39,0,$Q$11),C$38&gt;$J$11,""),"")</f>
        <v/>
      </c>
      <c r="D41" s="217" t="str" cm="1">
        <f t="array" ref="D41">IFERROR(_xlfn.IFS(D$38&lt;$K$11,0,D$38&gt;=$K$11,-IPMT($H$11,D$38,$J$11,D$39,0,$Q$11),D$38&gt;$J$11,""),"")</f>
        <v/>
      </c>
      <c r="E41" s="217" t="str" cm="1">
        <f t="array" ref="E41">IFERROR(_xlfn.IFS(E$38&lt;$K$11,0,E$38&gt;=$K$11,-IPMT($H$11,E$38,$J$11,E$39,0,$Q$11),E$38&gt;$J$11,""),"")</f>
        <v/>
      </c>
      <c r="F41" s="217" t="str" cm="1">
        <f t="array" ref="F41">IFERROR(_xlfn.IFS(F$38&lt;$K$11,0,F$38&gt;=$K$11,-IPMT($H$11,F$38,$J$11,F$39,0,$Q$11),F$38&gt;$J$11,""),"")</f>
        <v/>
      </c>
      <c r="G41" s="217" t="str" cm="1">
        <f t="array" ref="G41">IFERROR(_xlfn.IFS(G$38&lt;$K$11,0,G$38&gt;=$K$11,-IPMT($H$11,G$38,$J$11,G$39,0,$Q$11),G$38&gt;$J$11,""),"")</f>
        <v/>
      </c>
      <c r="H41" s="217" t="str" cm="1">
        <f t="array" ref="H41">IFERROR(_xlfn.IFS(H$38&lt;$K$11,0,H$38&gt;=$K$11,-IPMT($H$11,H$38,$J$11,H$39,0,$Q$11),H$38&gt;$J$11,""),"")</f>
        <v/>
      </c>
      <c r="I41" s="217" t="str" cm="1">
        <f t="array" ref="I41">IFERROR(_xlfn.IFS(I$38&lt;$K$11,0,I$38&gt;=$K$11,-IPMT($H$11,I$38,$J$11,I$39,0,$Q$11),I$38&gt;$J$11,""),"")</f>
        <v/>
      </c>
      <c r="J41" s="217" t="str" cm="1">
        <f t="array" ref="J41">IFERROR(_xlfn.IFS(J$38&lt;$K$11,0,J$38&gt;=$K$11,-IPMT($H$11,J$38,$J$11,J$39,0,$Q$11),J$38&gt;$J$11,""),"")</f>
        <v/>
      </c>
      <c r="K41" s="217" t="str" cm="1">
        <f t="array" ref="K41">IFERROR(_xlfn.IFS(K$38&lt;$K$11,0,K$38&gt;=$K$11,-IPMT($H$11,K$38,$J$11,K$39,0,$Q$11),K$38&gt;$J$11,""),"")</f>
        <v/>
      </c>
      <c r="L41" s="217" t="str" cm="1">
        <f t="array" ref="L41">IFERROR(_xlfn.IFS(L$38&lt;$K$11,0,L$38&gt;=$K$11,-IPMT($H$11,L$38,$J$11,L$39,0,$Q$11),L$38&gt;$J$11,""),"")</f>
        <v/>
      </c>
      <c r="M41" s="217" t="str" cm="1">
        <f t="array" ref="M41">IFERROR(_xlfn.IFS(M$38&lt;$K$11,0,M$38&gt;=$K$11,-IPMT($H$11,M$38,$J$11,M$39,0,$Q$11),M$38&gt;$J$11,""),"")</f>
        <v/>
      </c>
      <c r="N41" s="217" t="str" cm="1">
        <f t="array" ref="N41">IFERROR(_xlfn.IFS(N$38&lt;$K$11,0,N$38&gt;=$K$11,-IPMT($H$11,N$38,$J$11,N$39,0,$Q$11),N$38&gt;$J$11,""),"")</f>
        <v/>
      </c>
      <c r="O41" s="217" t="str" cm="1">
        <f t="array" ref="O41">IFERROR(_xlfn.IFS(O$38&lt;$K$11,0,O$38&gt;=$K$11,-IPMT($H$11,O$38,$J$11,O$39,0,$Q$11),O$38&gt;$J$11,""),"")</f>
        <v/>
      </c>
      <c r="P41" s="217" t="str" cm="1">
        <f t="array" ref="P41">IFERROR(_xlfn.IFS(P$38&lt;$K$11,0,P$38&gt;=$K$11,-IPMT($H$11,P$38,$J$11,P$39,0,$Q$11),P$38&gt;$J$11,""),"")</f>
        <v/>
      </c>
      <c r="Q41" s="217" t="str" cm="1">
        <f t="array" ref="Q41">IFERROR(_xlfn.IFS(Q$38&lt;$K$11,0,Q$38&gt;=$K$11,-IPMT($H$11,Q$38,$J$11,Q$39,0,$Q$11),Q$38&gt;$J$11,""),"")</f>
        <v/>
      </c>
      <c r="R41" s="217" t="str" cm="1">
        <f t="array" ref="R41">IFERROR(_xlfn.IFS(R$38&lt;$K$11,0,R$38&gt;=$K$11,-IPMT($H$11,R$38,$J$11,R$39,0,$Q$11),R$38&gt;$J$11,""),"")</f>
        <v/>
      </c>
      <c r="S41" s="217" t="str" cm="1">
        <f t="array" ref="S41">IFERROR(_xlfn.IFS(S$38&lt;$K$11,0,S$38&gt;=$K$11,-IPMT($H$11,S$38,$J$11,S$39,0,$Q$11),S$38&gt;$J$11,""),"")</f>
        <v/>
      </c>
      <c r="T41" s="217" t="str" cm="1">
        <f t="array" ref="T41">IFERROR(_xlfn.IFS(T$38&lt;$K$11,0,T$38&gt;=$K$11,-IPMT($H$11,T$38,$J$11,T$39,0,$Q$11),T$38&gt;$J$11,""),"")</f>
        <v/>
      </c>
      <c r="U41" s="217" t="str" cm="1">
        <f t="array" ref="U41">IFERROR(_xlfn.IFS(U$38&lt;$K$11,0,U$38&gt;=$K$11,-IPMT($H$11,U$38,$J$11,U$39,0,$Q$11),U$38&gt;$J$11,""),"")</f>
        <v/>
      </c>
      <c r="V41" s="217" t="str" cm="1">
        <f t="array" ref="V41">IFERROR(_xlfn.IFS(V$38&lt;$K$11,0,V$38&gt;=$K$11,-IPMT($H$11,V$38,$J$11,V$39,0,$Q$11),V$38&gt;$J$11,""),"")</f>
        <v/>
      </c>
      <c r="W41" s="217" t="str" cm="1">
        <f t="array" ref="W41">IFERROR(_xlfn.IFS(W$38&lt;$K$11,0,W$38&gt;=$K$11,-IPMT($H$11,W$38,$J$11,W$39,0,$Q$11),W$38&gt;$J$11,""),"")</f>
        <v/>
      </c>
      <c r="X41" s="217" t="str" cm="1">
        <f t="array" ref="X41">IFERROR(_xlfn.IFS(X$38&lt;$K$11,0,X$38&gt;=$K$11,-IPMT($H$11,X$38,$J$11,X$39,0,$Q$11),X$38&gt;$J$11,""),"")</f>
        <v/>
      </c>
      <c r="Y41" s="217" t="str" cm="1">
        <f t="array" ref="Y41">IFERROR(_xlfn.IFS(Y$38&lt;$K$11,0,Y$38&gt;=$K$11,-IPMT($H$11,Y$38,$J$11,Y$39,0,$Q$11),Y$38&gt;$J$11,""),"")</f>
        <v/>
      </c>
      <c r="Z41" s="217" t="str" cm="1">
        <f t="array" ref="Z41">IFERROR(_xlfn.IFS(Z$38&lt;$K$11,0,Z$38&gt;=$K$11,-IPMT($H$11,Z$38,$J$11,Z$39,0,$Q$11),Z$38&gt;$J$11,""),"")</f>
        <v/>
      </c>
      <c r="AA41" s="217" t="str" cm="1">
        <f t="array" ref="AA41">IFERROR(_xlfn.IFS(AA$38&lt;$K$11,0,AA$38&gt;=$K$11,-IPMT($H$11,AA$38,$J$11,AA$39,0,$Q$11),AA$38&gt;$J$11,""),"")</f>
        <v/>
      </c>
      <c r="AB41" s="217" t="str" cm="1">
        <f t="array" ref="AB41">IFERROR(_xlfn.IFS(AB$38&lt;$K$11,0,AB$38&gt;=$K$11,-IPMT($H$11,AB$38,$J$11,AB$39,0,$Q$11),AB$38&gt;$J$11,""),"")</f>
        <v/>
      </c>
      <c r="AC41" s="217" t="str" cm="1">
        <f t="array" ref="AC41">IFERROR(_xlfn.IFS(AC$38&lt;$K$11,0,AC$38&gt;=$K$11,-IPMT($H$11,AC$38,$J$11,AC$39,0,$Q$11),AC$38&gt;$J$11,""),"")</f>
        <v/>
      </c>
      <c r="AD41" s="217" t="str" cm="1">
        <f t="array" ref="AD41">IFERROR(_xlfn.IFS(AD$38&lt;$K$11,0,AD$38&gt;=$K$11,-IPMT($H$11,AD$38,$J$11,AD$39,0,$Q$11),AD$38&gt;$J$11,""),"")</f>
        <v/>
      </c>
      <c r="AE41" s="217" t="str" cm="1">
        <f t="array" ref="AE41">IFERROR(_xlfn.IFS(AE$38&lt;$K$11,0,AE$38&gt;=$K$11,-IPMT($H$11,AE$38,$J$11,AE$39,0,$Q$11),AE$38&gt;$J$11,""),"")</f>
        <v/>
      </c>
    </row>
    <row r="42" spans="1:37" ht="21" customHeight="1">
      <c r="A42" s="225" t="s">
        <v>110</v>
      </c>
      <c r="B42" s="218" t="str">
        <f>IFERROR(-CUMIPMT($H$11,$J$11,B$39,B$38,$J$11,$Q$11),"")</f>
        <v/>
      </c>
      <c r="C42" s="218" t="str">
        <f t="shared" ref="C42:AE42" si="20">IFERROR(-CUMIPMT($H$11,$J$11,C$39,C$38,$J$11,$Q$11),"")</f>
        <v/>
      </c>
      <c r="D42" s="218" t="str">
        <f t="shared" si="20"/>
        <v/>
      </c>
      <c r="E42" s="218" t="str">
        <f t="shared" si="20"/>
        <v/>
      </c>
      <c r="F42" s="218" t="str">
        <f t="shared" si="20"/>
        <v/>
      </c>
      <c r="G42" s="218" t="str">
        <f t="shared" si="20"/>
        <v/>
      </c>
      <c r="H42" s="218" t="str">
        <f t="shared" si="20"/>
        <v/>
      </c>
      <c r="I42" s="218" t="str">
        <f t="shared" si="20"/>
        <v/>
      </c>
      <c r="J42" s="218" t="str">
        <f t="shared" si="20"/>
        <v/>
      </c>
      <c r="K42" s="218" t="str">
        <f t="shared" si="20"/>
        <v/>
      </c>
      <c r="L42" s="218" t="str">
        <f t="shared" si="20"/>
        <v/>
      </c>
      <c r="M42" s="218" t="str">
        <f t="shared" si="20"/>
        <v/>
      </c>
      <c r="N42" s="218" t="str">
        <f t="shared" si="20"/>
        <v/>
      </c>
      <c r="O42" s="218" t="str">
        <f t="shared" si="20"/>
        <v/>
      </c>
      <c r="P42" s="218" t="str">
        <f t="shared" si="20"/>
        <v/>
      </c>
      <c r="Q42" s="218" t="str">
        <f t="shared" si="20"/>
        <v/>
      </c>
      <c r="R42" s="218" t="str">
        <f t="shared" si="20"/>
        <v/>
      </c>
      <c r="S42" s="218" t="str">
        <f t="shared" si="20"/>
        <v/>
      </c>
      <c r="T42" s="218" t="str">
        <f t="shared" si="20"/>
        <v/>
      </c>
      <c r="U42" s="218" t="str">
        <f t="shared" si="20"/>
        <v/>
      </c>
      <c r="V42" s="218" t="str">
        <f t="shared" si="20"/>
        <v/>
      </c>
      <c r="W42" s="218" t="str">
        <f t="shared" si="20"/>
        <v/>
      </c>
      <c r="X42" s="218" t="str">
        <f t="shared" si="20"/>
        <v/>
      </c>
      <c r="Y42" s="218" t="str">
        <f t="shared" si="20"/>
        <v/>
      </c>
      <c r="Z42" s="218" t="str">
        <f t="shared" si="20"/>
        <v/>
      </c>
      <c r="AA42" s="218" t="str">
        <f t="shared" si="20"/>
        <v/>
      </c>
      <c r="AB42" s="218" t="str">
        <f t="shared" si="20"/>
        <v/>
      </c>
      <c r="AC42" s="218" t="str">
        <f t="shared" si="20"/>
        <v/>
      </c>
      <c r="AD42" s="218" t="str">
        <f t="shared" si="20"/>
        <v/>
      </c>
      <c r="AE42" s="218" t="str">
        <f t="shared" si="20"/>
        <v/>
      </c>
    </row>
    <row r="43" spans="1:37" ht="21" customHeight="1">
      <c r="A43" s="5" t="s">
        <v>111</v>
      </c>
      <c r="B43" s="226" t="str">
        <f t="shared" ref="B43:AE43" si="21">IFERROR(B39-B40-B41+B42,"")</f>
        <v/>
      </c>
      <c r="C43" s="221" t="str">
        <f t="shared" si="21"/>
        <v/>
      </c>
      <c r="D43" s="221" t="str">
        <f t="shared" si="21"/>
        <v/>
      </c>
      <c r="E43" s="221" t="str">
        <f t="shared" si="21"/>
        <v/>
      </c>
      <c r="F43" s="221" t="str">
        <f t="shared" si="21"/>
        <v/>
      </c>
      <c r="G43" s="221" t="str">
        <f t="shared" si="21"/>
        <v/>
      </c>
      <c r="H43" s="221" t="str">
        <f t="shared" si="21"/>
        <v/>
      </c>
      <c r="I43" s="221" t="str">
        <f t="shared" si="21"/>
        <v/>
      </c>
      <c r="J43" s="221" t="str">
        <f t="shared" si="21"/>
        <v/>
      </c>
      <c r="K43" s="221" t="str">
        <f t="shared" si="21"/>
        <v/>
      </c>
      <c r="L43" s="221" t="str">
        <f t="shared" si="21"/>
        <v/>
      </c>
      <c r="M43" s="221" t="str">
        <f t="shared" si="21"/>
        <v/>
      </c>
      <c r="N43" s="221" t="str">
        <f t="shared" si="21"/>
        <v/>
      </c>
      <c r="O43" s="221" t="str">
        <f t="shared" si="21"/>
        <v/>
      </c>
      <c r="P43" s="221" t="str">
        <f t="shared" si="21"/>
        <v/>
      </c>
      <c r="Q43" s="221" t="str">
        <f t="shared" si="21"/>
        <v/>
      </c>
      <c r="R43" s="221" t="str">
        <f t="shared" si="21"/>
        <v/>
      </c>
      <c r="S43" s="221" t="str">
        <f t="shared" si="21"/>
        <v/>
      </c>
      <c r="T43" s="221" t="str">
        <f t="shared" si="21"/>
        <v/>
      </c>
      <c r="U43" s="221" t="str">
        <f t="shared" si="21"/>
        <v/>
      </c>
      <c r="V43" s="221" t="str">
        <f t="shared" si="21"/>
        <v/>
      </c>
      <c r="W43" s="221" t="str">
        <f t="shared" si="21"/>
        <v/>
      </c>
      <c r="X43" s="221" t="str">
        <f t="shared" si="21"/>
        <v/>
      </c>
      <c r="Y43" s="221" t="str">
        <f t="shared" si="21"/>
        <v/>
      </c>
      <c r="Z43" s="221" t="str">
        <f t="shared" si="21"/>
        <v/>
      </c>
      <c r="AA43" s="221" t="str">
        <f t="shared" si="21"/>
        <v/>
      </c>
      <c r="AB43" s="221" t="str">
        <f t="shared" si="21"/>
        <v/>
      </c>
      <c r="AC43" s="221" t="str">
        <f t="shared" si="21"/>
        <v/>
      </c>
      <c r="AD43" s="221" t="str">
        <f t="shared" si="21"/>
        <v/>
      </c>
      <c r="AE43" s="221" t="str">
        <f t="shared" si="21"/>
        <v/>
      </c>
    </row>
    <row r="44" spans="1:37" ht="21" customHeight="1">
      <c r="A44" s="5"/>
      <c r="B44" s="5"/>
      <c r="C44" s="4"/>
      <c r="D44" s="4"/>
      <c r="E44" s="4"/>
      <c r="F44" s="4"/>
      <c r="G44" s="4"/>
      <c r="H44" s="4"/>
      <c r="I44" s="4"/>
      <c r="J44" s="4"/>
      <c r="K44" s="4"/>
      <c r="L44" s="4"/>
      <c r="M44" s="4"/>
      <c r="N44" s="4"/>
      <c r="P44" s="4"/>
      <c r="Q44" s="4"/>
      <c r="R44" s="4"/>
      <c r="S44" s="4"/>
      <c r="T44" s="4"/>
      <c r="U44" s="4"/>
      <c r="V44" s="4"/>
      <c r="W44" s="4"/>
      <c r="X44" s="4"/>
      <c r="Y44" s="4"/>
      <c r="Z44" s="4"/>
      <c r="AA44" s="4"/>
      <c r="AB44" s="4"/>
      <c r="AC44" s="4"/>
      <c r="AD44" s="4"/>
      <c r="AE44" s="4"/>
    </row>
    <row r="45" spans="1:37" ht="21" customHeight="1">
      <c r="A45" s="227"/>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7" ht="21" customHeight="1">
      <c r="C46" s="5"/>
      <c r="F46" s="3"/>
      <c r="G46" s="4"/>
      <c r="H46" s="4"/>
      <c r="I46" s="4"/>
      <c r="J46" s="4"/>
      <c r="K46" s="4"/>
      <c r="L46" s="4"/>
      <c r="M46" s="4"/>
      <c r="N46" s="4"/>
      <c r="O46" s="4"/>
      <c r="P46" s="4"/>
      <c r="Q46" s="4"/>
      <c r="S46" s="4"/>
      <c r="T46" s="4"/>
      <c r="U46" s="4"/>
      <c r="V46" s="4"/>
      <c r="W46" s="4"/>
      <c r="X46" s="4"/>
      <c r="Y46" s="4"/>
      <c r="Z46" s="4"/>
      <c r="AA46" s="4"/>
      <c r="AB46" s="4"/>
      <c r="AC46" s="4"/>
      <c r="AD46" s="4"/>
      <c r="AE46" s="4"/>
    </row>
    <row r="47" spans="1:37">
      <c r="F47" s="3"/>
      <c r="G47" s="3"/>
      <c r="H47" s="3"/>
      <c r="Z47" s="4"/>
      <c r="AA47" s="4"/>
      <c r="AB47" s="4"/>
    </row>
    <row r="48" spans="1:37">
      <c r="F48" s="3"/>
      <c r="G48" s="3"/>
      <c r="H48" s="3"/>
    </row>
  </sheetData>
  <sheetProtection algorithmName="SHA-512" hashValue="mOnIt2zW5+NYsJvtdktoLXHNaTdvDrEdS9pbX6GeO4cHxbgTPgUZcGzJrVlSx/8HA7wG3ioCvLssmyYMYjI9gg==" saltValue="uUvjceHyn/nbyYEtYflomg==" spinCount="100000" sheet="1" objects="1" scenarios="1"/>
  <mergeCells count="11">
    <mergeCell ref="X5:Y5"/>
    <mergeCell ref="V5:W5"/>
    <mergeCell ref="C6:F6"/>
    <mergeCell ref="C11:F11"/>
    <mergeCell ref="A6:B6"/>
    <mergeCell ref="N6:O6"/>
    <mergeCell ref="P6:Q6"/>
    <mergeCell ref="C8:F8"/>
    <mergeCell ref="C7:F7"/>
    <mergeCell ref="C9:F9"/>
    <mergeCell ref="C10:F10"/>
  </mergeCells>
  <conditionalFormatting sqref="B7:B11">
    <cfRule type="containsText" dxfId="6" priority="4" operator="containsText" text="Yes">
      <formula>NOT(ISERROR(SEARCH("Yes",B7)))</formula>
    </cfRule>
    <cfRule type="containsBlanks" dxfId="5" priority="31">
      <formula>LEN(TRIM(B7))=0</formula>
    </cfRule>
  </conditionalFormatting>
  <dataValidations count="3">
    <dataValidation type="list" allowBlank="1" showInputMessage="1" showErrorMessage="1" sqref="N8:N10" xr:uid="{2E7AF3CE-8B23-4A8B-9658-6C4F378E7A97}">
      <formula1>$V$6:$V$11</formula1>
    </dataValidation>
    <dataValidation type="list" allowBlank="1" showInputMessage="1" showErrorMessage="1" sqref="B7:B11" xr:uid="{B2EF54AE-6405-4713-9282-C43D532BB01F}">
      <formula1>"Yes,No"</formula1>
    </dataValidation>
    <dataValidation type="list" allowBlank="1" showInputMessage="1" showErrorMessage="1" sqref="P8:P11" xr:uid="{9E78DCB5-64BD-4FD2-A6B9-942852E2628D}">
      <formula1>$X$6:$X$7</formula1>
    </dataValidation>
  </dataValidation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F497D-648E-45D4-9A65-149B6B92C22A}">
  <sheetPr codeName="Sheet2">
    <tabColor theme="8" tint="0.39997558519241921"/>
    <pageSetUpPr fitToPage="1"/>
  </sheetPr>
  <dimension ref="A1:G81"/>
  <sheetViews>
    <sheetView showGridLines="0" topLeftCell="A14" zoomScaleNormal="100" workbookViewId="0">
      <selection activeCell="C17" sqref="C17"/>
    </sheetView>
  </sheetViews>
  <sheetFormatPr defaultRowHeight="15"/>
  <cols>
    <col min="1" max="1" width="3.42578125" style="114" bestFit="1" customWidth="1"/>
    <col min="2" max="2" width="40.85546875" customWidth="1"/>
    <col min="3" max="3" width="10.7109375" style="147" customWidth="1"/>
    <col min="4" max="5" width="19.5703125" customWidth="1"/>
    <col min="6" max="6" width="7.7109375" customWidth="1"/>
    <col min="7" max="7" width="118" customWidth="1"/>
    <col min="8" max="16" width="9.140625" customWidth="1"/>
  </cols>
  <sheetData>
    <row r="1" spans="1:7" ht="31.5">
      <c r="B1" s="469" t="s">
        <v>115</v>
      </c>
      <c r="C1" s="469"/>
      <c r="D1" s="469"/>
      <c r="E1" s="353"/>
    </row>
    <row r="2" spans="1:7" ht="6" customHeight="1">
      <c r="B2" s="48"/>
      <c r="C2" s="140"/>
      <c r="D2" s="48"/>
      <c r="E2" s="48"/>
    </row>
    <row r="3" spans="1:7" ht="6" customHeight="1">
      <c r="B3" s="470"/>
      <c r="C3" s="470"/>
      <c r="D3" s="470"/>
      <c r="E3" s="354"/>
    </row>
    <row r="4" spans="1:7" ht="6" customHeight="1">
      <c r="B4" s="48"/>
      <c r="C4" s="140"/>
      <c r="D4" s="48"/>
      <c r="E4" s="48"/>
    </row>
    <row r="5" spans="1:7" ht="20.25" customHeight="1">
      <c r="C5"/>
    </row>
    <row r="6" spans="1:7" ht="24" customHeight="1">
      <c r="C6"/>
    </row>
    <row r="7" spans="1:7" ht="33" customHeight="1" thickBot="1">
      <c r="B7" s="272" t="s">
        <v>116</v>
      </c>
      <c r="C7" s="142" t="s">
        <v>34</v>
      </c>
      <c r="D7" s="273" t="s">
        <v>117</v>
      </c>
      <c r="E7" s="273" t="s">
        <v>118</v>
      </c>
    </row>
    <row r="8" spans="1:7" ht="24.95" customHeight="1">
      <c r="B8" s="47" t="s">
        <v>119</v>
      </c>
      <c r="C8" s="143"/>
      <c r="D8" s="47"/>
      <c r="E8" s="409"/>
    </row>
    <row r="9" spans="1:7" s="1" customFormat="1" ht="20.25" customHeight="1">
      <c r="A9" s="114">
        <v>1</v>
      </c>
      <c r="B9" s="347" t="s">
        <v>120</v>
      </c>
      <c r="C9" s="144"/>
      <c r="D9" s="37"/>
      <c r="E9" s="401">
        <f>D9</f>
        <v>0</v>
      </c>
      <c r="G9"/>
    </row>
    <row r="10" spans="1:7" s="1" customFormat="1" ht="20.25" customHeight="1" thickBot="1">
      <c r="A10" s="114">
        <v>2</v>
      </c>
      <c r="B10" s="347" t="s">
        <v>121</v>
      </c>
      <c r="C10" s="144"/>
      <c r="D10" s="148"/>
      <c r="E10" s="401">
        <f>D10</f>
        <v>0</v>
      </c>
      <c r="G10"/>
    </row>
    <row r="11" spans="1:7" s="2" customFormat="1" ht="24.75" customHeight="1">
      <c r="A11" s="115"/>
      <c r="B11" s="47" t="s">
        <v>122</v>
      </c>
      <c r="C11" s="143"/>
      <c r="D11" s="47"/>
      <c r="E11" s="409"/>
      <c r="G11"/>
    </row>
    <row r="12" spans="1:7" s="1" customFormat="1" ht="20.25" customHeight="1">
      <c r="A12" s="114">
        <v>3</v>
      </c>
      <c r="B12" s="347" t="s">
        <v>123</v>
      </c>
      <c r="C12" s="144"/>
      <c r="D12" s="36"/>
      <c r="E12" s="401">
        <f>D12</f>
        <v>0</v>
      </c>
      <c r="G12"/>
    </row>
    <row r="13" spans="1:7" s="1" customFormat="1" ht="20.25" customHeight="1" thickBot="1">
      <c r="A13" s="114">
        <v>4</v>
      </c>
      <c r="B13" s="347" t="s">
        <v>124</v>
      </c>
      <c r="C13" s="144"/>
      <c r="D13" s="36"/>
      <c r="E13" s="403"/>
      <c r="G13"/>
    </row>
    <row r="14" spans="1:7" s="2" customFormat="1" ht="24.75" customHeight="1">
      <c r="A14" s="115"/>
      <c r="B14" s="47" t="s">
        <v>125</v>
      </c>
      <c r="C14" s="143"/>
      <c r="D14" s="47"/>
      <c r="E14" s="409"/>
      <c r="G14"/>
    </row>
    <row r="15" spans="1:7" s="1" customFormat="1" ht="20.25" customHeight="1">
      <c r="A15" s="114">
        <v>5</v>
      </c>
      <c r="B15" s="347" t="s">
        <v>126</v>
      </c>
      <c r="C15" s="144"/>
      <c r="D15" s="37"/>
      <c r="E15" s="401">
        <f>D15</f>
        <v>0</v>
      </c>
      <c r="G15"/>
    </row>
    <row r="16" spans="1:7" s="1" customFormat="1" ht="20.25" customHeight="1">
      <c r="A16" s="114">
        <v>6</v>
      </c>
      <c r="B16" s="347" t="s">
        <v>127</v>
      </c>
      <c r="C16" s="144"/>
      <c r="D16" s="36"/>
      <c r="E16" s="401">
        <f>D16</f>
        <v>0</v>
      </c>
      <c r="G16"/>
    </row>
    <row r="17" spans="1:7" s="1" customFormat="1" ht="20.25" customHeight="1">
      <c r="A17" s="114">
        <v>7</v>
      </c>
      <c r="B17" s="266" t="s">
        <v>128</v>
      </c>
      <c r="C17" s="392"/>
      <c r="D17" s="400">
        <f>SUM(D15:D16)*C17</f>
        <v>0</v>
      </c>
      <c r="E17" s="401">
        <f>D17</f>
        <v>0</v>
      </c>
      <c r="G17"/>
    </row>
    <row r="18" spans="1:7" s="1" customFormat="1" ht="20.25" customHeight="1" thickBot="1">
      <c r="A18" s="114">
        <v>8</v>
      </c>
      <c r="B18" s="347" t="s">
        <v>129</v>
      </c>
      <c r="C18" s="399"/>
      <c r="D18" s="401">
        <f>SUM(D15:D16)*C18</f>
        <v>0</v>
      </c>
      <c r="E18" s="403"/>
      <c r="G18"/>
    </row>
    <row r="19" spans="1:7" s="2" customFormat="1" ht="24.75" customHeight="1">
      <c r="A19" s="115"/>
      <c r="B19" s="47" t="s">
        <v>130</v>
      </c>
      <c r="C19" s="143"/>
      <c r="D19" s="47"/>
      <c r="E19" s="409"/>
      <c r="G19"/>
    </row>
    <row r="20" spans="1:7" s="1" customFormat="1" ht="20.25" customHeight="1" thickBot="1">
      <c r="A20" s="114">
        <v>9</v>
      </c>
      <c r="B20" s="347" t="s">
        <v>131</v>
      </c>
      <c r="C20" s="144"/>
      <c r="D20" s="36"/>
      <c r="E20" s="403"/>
      <c r="G20"/>
    </row>
    <row r="21" spans="1:7" s="2" customFormat="1" ht="24.75" customHeight="1">
      <c r="A21" s="115"/>
      <c r="B21" s="47" t="s">
        <v>132</v>
      </c>
      <c r="C21" s="143"/>
      <c r="D21" s="47"/>
      <c r="E21" s="409"/>
      <c r="G21"/>
    </row>
    <row r="22" spans="1:7" s="1" customFormat="1" ht="20.25" customHeight="1">
      <c r="A22" s="114">
        <v>10</v>
      </c>
      <c r="B22" s="347" t="s">
        <v>133</v>
      </c>
      <c r="C22" s="149"/>
      <c r="D22" s="36"/>
      <c r="E22" s="401">
        <f>D22</f>
        <v>0</v>
      </c>
      <c r="G22"/>
    </row>
    <row r="23" spans="1:7" s="1" customFormat="1" ht="20.25" customHeight="1">
      <c r="A23" s="114">
        <v>11</v>
      </c>
      <c r="B23" s="347" t="s">
        <v>134</v>
      </c>
      <c r="C23" s="145"/>
      <c r="D23" s="37"/>
      <c r="E23" s="400">
        <f>D23</f>
        <v>0</v>
      </c>
      <c r="G23"/>
    </row>
    <row r="24" spans="1:7" s="1" customFormat="1" ht="20.25" customHeight="1">
      <c r="A24" s="114">
        <v>12</v>
      </c>
      <c r="B24" s="347" t="s">
        <v>135</v>
      </c>
      <c r="C24" s="144"/>
      <c r="D24" s="36"/>
      <c r="E24" s="400">
        <f t="shared" ref="E24:E30" si="0">D24</f>
        <v>0</v>
      </c>
      <c r="G24"/>
    </row>
    <row r="25" spans="1:7" s="1" customFormat="1" ht="20.25" customHeight="1">
      <c r="A25" s="114">
        <v>13</v>
      </c>
      <c r="B25" s="347" t="s">
        <v>136</v>
      </c>
      <c r="C25" s="145"/>
      <c r="D25" s="36"/>
      <c r="E25" s="400">
        <f t="shared" si="0"/>
        <v>0</v>
      </c>
      <c r="G25"/>
    </row>
    <row r="26" spans="1:7" s="1" customFormat="1" ht="20.25" customHeight="1">
      <c r="A26" s="114">
        <v>14</v>
      </c>
      <c r="B26" s="347" t="s">
        <v>137</v>
      </c>
      <c r="C26" s="144"/>
      <c r="D26" s="36"/>
      <c r="E26" s="400">
        <f t="shared" si="0"/>
        <v>0</v>
      </c>
      <c r="G26"/>
    </row>
    <row r="27" spans="1:7" s="1" customFormat="1" ht="20.25" customHeight="1">
      <c r="A27" s="114">
        <v>15</v>
      </c>
      <c r="B27" s="347" t="s">
        <v>138</v>
      </c>
      <c r="C27" s="145"/>
      <c r="D27" s="36"/>
      <c r="E27" s="400">
        <f t="shared" si="0"/>
        <v>0</v>
      </c>
      <c r="G27"/>
    </row>
    <row r="28" spans="1:7" s="1" customFormat="1" ht="20.25" customHeight="1">
      <c r="A28" s="114">
        <v>16</v>
      </c>
      <c r="B28" s="347" t="s">
        <v>139</v>
      </c>
      <c r="C28" s="145"/>
      <c r="D28" s="36"/>
      <c r="E28" s="400">
        <f t="shared" si="0"/>
        <v>0</v>
      </c>
      <c r="G28"/>
    </row>
    <row r="29" spans="1:7" s="1" customFormat="1" ht="20.25" customHeight="1">
      <c r="A29" s="114">
        <v>17</v>
      </c>
      <c r="B29" s="347" t="s">
        <v>140</v>
      </c>
      <c r="C29" s="145"/>
      <c r="D29" s="36"/>
      <c r="E29" s="400">
        <f t="shared" si="0"/>
        <v>0</v>
      </c>
      <c r="G29"/>
    </row>
    <row r="30" spans="1:7" s="1" customFormat="1" ht="20.25" customHeight="1">
      <c r="A30" s="114">
        <v>18</v>
      </c>
      <c r="B30" s="347" t="s">
        <v>141</v>
      </c>
      <c r="C30" s="144"/>
      <c r="D30" s="36"/>
      <c r="E30" s="400">
        <f t="shared" si="0"/>
        <v>0</v>
      </c>
      <c r="G30"/>
    </row>
    <row r="31" spans="1:7" s="1" customFormat="1" ht="20.25" customHeight="1" thickBot="1">
      <c r="A31" s="114">
        <v>19</v>
      </c>
      <c r="B31" s="347" t="s">
        <v>142</v>
      </c>
      <c r="C31" s="144"/>
      <c r="D31" s="36"/>
      <c r="E31" s="401">
        <f>D31</f>
        <v>0</v>
      </c>
      <c r="G31"/>
    </row>
    <row r="32" spans="1:7" s="2" customFormat="1" ht="24.75" customHeight="1">
      <c r="A32" s="115"/>
      <c r="B32" s="47" t="s">
        <v>143</v>
      </c>
      <c r="C32" s="143"/>
      <c r="D32" s="47"/>
      <c r="E32" s="409"/>
      <c r="G32"/>
    </row>
    <row r="33" spans="1:7" s="1" customFormat="1" ht="20.25" customHeight="1">
      <c r="A33" s="114">
        <v>20</v>
      </c>
      <c r="B33" s="347" t="s">
        <v>144</v>
      </c>
      <c r="C33" s="144"/>
      <c r="D33" s="37"/>
      <c r="E33" s="400">
        <f>D33</f>
        <v>0</v>
      </c>
      <c r="G33"/>
    </row>
    <row r="34" spans="1:7" s="1" customFormat="1" ht="20.25" customHeight="1">
      <c r="A34" s="114">
        <v>21</v>
      </c>
      <c r="B34" s="347" t="s">
        <v>69</v>
      </c>
      <c r="C34" s="144"/>
      <c r="D34" s="37"/>
      <c r="E34" s="400">
        <f>D34</f>
        <v>0</v>
      </c>
      <c r="G34"/>
    </row>
    <row r="35" spans="1:7" s="1" customFormat="1" ht="20.25" customHeight="1">
      <c r="A35" s="114">
        <v>22</v>
      </c>
      <c r="B35" s="347" t="s">
        <v>145</v>
      </c>
      <c r="C35" s="144"/>
      <c r="D35" s="36"/>
      <c r="E35" s="400">
        <f t="shared" ref="E35:E39" si="1">D35</f>
        <v>0</v>
      </c>
      <c r="G35"/>
    </row>
    <row r="36" spans="1:7" s="1" customFormat="1" ht="20.25" customHeight="1">
      <c r="A36" s="114">
        <v>23</v>
      </c>
      <c r="B36" s="347" t="s">
        <v>146</v>
      </c>
      <c r="C36" s="144"/>
      <c r="D36" s="37"/>
      <c r="E36" s="400">
        <f t="shared" si="1"/>
        <v>0</v>
      </c>
      <c r="G36"/>
    </row>
    <row r="37" spans="1:7" s="1" customFormat="1" ht="20.25" customHeight="1">
      <c r="A37" s="114">
        <v>24</v>
      </c>
      <c r="B37" s="347" t="s">
        <v>147</v>
      </c>
      <c r="C37" s="144"/>
      <c r="D37" s="37"/>
      <c r="E37" s="400">
        <f t="shared" si="1"/>
        <v>0</v>
      </c>
      <c r="G37"/>
    </row>
    <row r="38" spans="1:7" s="1" customFormat="1" ht="20.25" customHeight="1">
      <c r="A38" s="114">
        <v>25</v>
      </c>
      <c r="B38" s="347" t="s">
        <v>148</v>
      </c>
      <c r="C38" s="144"/>
      <c r="D38" s="37"/>
      <c r="E38" s="400">
        <f t="shared" si="1"/>
        <v>0</v>
      </c>
      <c r="G38"/>
    </row>
    <row r="39" spans="1:7" s="1" customFormat="1" ht="20.25" customHeight="1">
      <c r="A39" s="114">
        <v>26</v>
      </c>
      <c r="B39" s="347" t="s">
        <v>92</v>
      </c>
      <c r="C39" s="144"/>
      <c r="D39" s="400">
        <f>IF(ISBLANK(Financing!S7),0,Financing!S7)</f>
        <v>0</v>
      </c>
      <c r="E39" s="400">
        <f t="shared" si="1"/>
        <v>0</v>
      </c>
      <c r="G39"/>
    </row>
    <row r="40" spans="1:7" s="1" customFormat="1" ht="20.25" customHeight="1">
      <c r="A40" s="114">
        <v>27</v>
      </c>
      <c r="B40" s="347" t="s">
        <v>149</v>
      </c>
      <c r="C40" s="144"/>
      <c r="D40" s="401">
        <f>IF(ISBLANK(Financing!T7),0,Financing!T7)</f>
        <v>0</v>
      </c>
      <c r="E40" s="401">
        <f>D40</f>
        <v>0</v>
      </c>
      <c r="G40"/>
    </row>
    <row r="41" spans="1:7" s="1" customFormat="1" ht="20.25" customHeight="1">
      <c r="A41" s="114">
        <v>28</v>
      </c>
      <c r="B41" s="347" t="s">
        <v>150</v>
      </c>
      <c r="C41" s="144"/>
      <c r="D41" s="37"/>
      <c r="E41" s="400">
        <f>D41</f>
        <v>0</v>
      </c>
      <c r="G41"/>
    </row>
    <row r="42" spans="1:7" s="1" customFormat="1" ht="20.25" customHeight="1" thickBot="1">
      <c r="A42" s="114">
        <v>29</v>
      </c>
      <c r="B42" s="347" t="s">
        <v>151</v>
      </c>
      <c r="C42" s="144"/>
      <c r="D42" s="36"/>
      <c r="E42" s="401">
        <f>D42</f>
        <v>0</v>
      </c>
      <c r="G42"/>
    </row>
    <row r="43" spans="1:7" s="2" customFormat="1" ht="24.75" customHeight="1">
      <c r="A43" s="115"/>
      <c r="B43" s="47" t="s">
        <v>152</v>
      </c>
      <c r="C43" s="143"/>
      <c r="D43" s="47"/>
      <c r="E43" s="409"/>
      <c r="G43"/>
    </row>
    <row r="44" spans="1:7" s="1" customFormat="1" ht="20.25" customHeight="1">
      <c r="A44" s="114">
        <v>30</v>
      </c>
      <c r="B44" s="347" t="s">
        <v>153</v>
      </c>
      <c r="C44" s="144"/>
      <c r="D44" s="36"/>
      <c r="E44" s="401">
        <f>D44</f>
        <v>0</v>
      </c>
      <c r="G44"/>
    </row>
    <row r="45" spans="1:7" s="1" customFormat="1" ht="20.25" customHeight="1" thickBot="1">
      <c r="A45" s="114">
        <v>31</v>
      </c>
      <c r="B45" s="347" t="s">
        <v>154</v>
      </c>
      <c r="C45" s="144"/>
      <c r="D45" s="36"/>
      <c r="E45" s="401">
        <f>D45</f>
        <v>0</v>
      </c>
      <c r="G45"/>
    </row>
    <row r="46" spans="1:7" s="2" customFormat="1" ht="24.75" customHeight="1">
      <c r="A46" s="115"/>
      <c r="B46" s="47" t="s">
        <v>155</v>
      </c>
      <c r="C46" s="143"/>
      <c r="D46" s="47"/>
      <c r="E46" s="409"/>
      <c r="G46"/>
    </row>
    <row r="47" spans="1:7" s="1" customFormat="1" ht="20.25" customHeight="1">
      <c r="A47" s="114">
        <v>32</v>
      </c>
      <c r="B47" s="347" t="s">
        <v>156</v>
      </c>
      <c r="C47" s="144"/>
      <c r="D47" s="36"/>
      <c r="E47" s="401">
        <f>D47</f>
        <v>0</v>
      </c>
      <c r="G47"/>
    </row>
    <row r="48" spans="1:7" s="1" customFormat="1" ht="20.25" customHeight="1" thickBot="1">
      <c r="A48" s="114">
        <v>33</v>
      </c>
      <c r="B48" s="347" t="s">
        <v>157</v>
      </c>
      <c r="C48" s="144"/>
      <c r="D48" s="36"/>
      <c r="E48" s="401">
        <f>D48</f>
        <v>0</v>
      </c>
      <c r="G48"/>
    </row>
    <row r="49" spans="1:7" s="2" customFormat="1" ht="24.75" customHeight="1">
      <c r="A49" s="115"/>
      <c r="B49" s="47" t="s">
        <v>158</v>
      </c>
      <c r="C49" s="143"/>
      <c r="D49" s="47"/>
      <c r="E49" s="409"/>
      <c r="G49"/>
    </row>
    <row r="50" spans="1:7" s="1" customFormat="1" ht="20.25" customHeight="1">
      <c r="A50" s="114">
        <v>34</v>
      </c>
      <c r="B50" s="347" t="s">
        <v>159</v>
      </c>
      <c r="C50" s="144"/>
      <c r="D50" s="36"/>
      <c r="E50" s="402"/>
      <c r="G50"/>
    </row>
    <row r="51" spans="1:7" s="1" customFormat="1" ht="20.25" customHeight="1" thickBot="1">
      <c r="A51" s="114">
        <v>35</v>
      </c>
      <c r="B51" s="347" t="s">
        <v>160</v>
      </c>
      <c r="C51" s="144"/>
      <c r="D51" s="36"/>
      <c r="E51" s="403"/>
      <c r="G51"/>
    </row>
    <row r="52" spans="1:7" s="2" customFormat="1" ht="24.75" customHeight="1">
      <c r="A52" s="115"/>
      <c r="B52" s="47" t="s">
        <v>161</v>
      </c>
      <c r="C52" s="143"/>
      <c r="D52" s="47"/>
      <c r="E52" s="409"/>
      <c r="G52"/>
    </row>
    <row r="53" spans="1:7" s="1" customFormat="1" ht="20.25" customHeight="1">
      <c r="A53" s="114">
        <v>36</v>
      </c>
      <c r="B53" s="347" t="s">
        <v>162</v>
      </c>
      <c r="C53" s="144"/>
      <c r="D53" s="37"/>
      <c r="E53" s="400">
        <f>D53</f>
        <v>0</v>
      </c>
      <c r="G53"/>
    </row>
    <row r="54" spans="1:7" s="1" customFormat="1" ht="20.25" customHeight="1">
      <c r="A54" s="114">
        <v>37</v>
      </c>
      <c r="B54" s="347" t="s">
        <v>163</v>
      </c>
      <c r="C54" s="159"/>
      <c r="D54" s="148"/>
      <c r="E54" s="404">
        <f>D54</f>
        <v>0</v>
      </c>
      <c r="G54"/>
    </row>
    <row r="55" spans="1:7" s="1" customFormat="1" ht="20.25" customHeight="1">
      <c r="A55" s="114">
        <v>38</v>
      </c>
      <c r="B55" s="347" t="s">
        <v>164</v>
      </c>
      <c r="C55" s="159"/>
      <c r="D55" s="148"/>
      <c r="E55" s="404">
        <f>D55</f>
        <v>0</v>
      </c>
      <c r="G55"/>
    </row>
    <row r="56" spans="1:7" s="1" customFormat="1" ht="20.25" customHeight="1">
      <c r="A56" s="114">
        <v>39</v>
      </c>
      <c r="B56" s="347" t="s">
        <v>165</v>
      </c>
      <c r="C56" s="159"/>
      <c r="D56" s="148"/>
      <c r="E56" s="402"/>
      <c r="G56"/>
    </row>
    <row r="57" spans="1:7" s="1" customFormat="1" ht="20.25" customHeight="1" thickBot="1">
      <c r="A57" s="114">
        <v>40</v>
      </c>
      <c r="B57" s="347" t="s">
        <v>166</v>
      </c>
      <c r="C57" s="398"/>
      <c r="D57" s="405">
        <f>IFERROR(SUM(D9:D54)*C57,"")</f>
        <v>0</v>
      </c>
      <c r="E57" s="403"/>
      <c r="G57"/>
    </row>
    <row r="58" spans="1:7" s="2" customFormat="1" ht="24.75" customHeight="1">
      <c r="A58" s="115"/>
      <c r="B58" s="47" t="s">
        <v>167</v>
      </c>
      <c r="C58" s="143"/>
      <c r="D58" s="47"/>
      <c r="E58" s="409"/>
      <c r="G58"/>
    </row>
    <row r="59" spans="1:7" s="1" customFormat="1" ht="20.25" customHeight="1">
      <c r="A59" s="114">
        <v>41</v>
      </c>
      <c r="B59" s="347" t="s">
        <v>168</v>
      </c>
      <c r="C59" s="399"/>
      <c r="D59" s="401">
        <f>SUM(D12:D51)*C59</f>
        <v>0</v>
      </c>
      <c r="E59" s="401">
        <f>D59</f>
        <v>0</v>
      </c>
      <c r="G59"/>
    </row>
    <row r="60" spans="1:7" s="1" customFormat="1" ht="20.25" customHeight="1" thickBot="1">
      <c r="A60" s="114">
        <v>42</v>
      </c>
      <c r="B60" s="347" t="s">
        <v>169</v>
      </c>
      <c r="C60" s="144"/>
      <c r="D60" s="36"/>
      <c r="E60" s="401">
        <f>D60</f>
        <v>0</v>
      </c>
      <c r="G60"/>
    </row>
    <row r="61" spans="1:7" s="2" customFormat="1" ht="24.75" customHeight="1" thickBot="1">
      <c r="A61" s="115"/>
      <c r="B61" s="166" t="s">
        <v>170</v>
      </c>
      <c r="C61" s="146"/>
      <c r="D61" s="150">
        <f t="shared" ref="D61:E61" si="2">SUM(D9:D60)</f>
        <v>0</v>
      </c>
      <c r="E61" s="150">
        <f t="shared" si="2"/>
        <v>0</v>
      </c>
      <c r="G61"/>
    </row>
    <row r="62" spans="1:7" ht="24.75" customHeight="1">
      <c r="C62" s="141"/>
    </row>
    <row r="63" spans="1:7" ht="24.75" customHeight="1">
      <c r="C63"/>
    </row>
    <row r="64" spans="1:7">
      <c r="C64"/>
    </row>
    <row r="65" spans="3:3" ht="24.75" customHeight="1">
      <c r="C65"/>
    </row>
    <row r="66" spans="3:3" ht="24.75" customHeight="1">
      <c r="C66"/>
    </row>
    <row r="67" spans="3:3" ht="24.75" customHeight="1">
      <c r="C67"/>
    </row>
    <row r="68" spans="3:3" ht="24.75" customHeight="1">
      <c r="C68"/>
    </row>
    <row r="69" spans="3:3" ht="24.75" customHeight="1">
      <c r="C69"/>
    </row>
    <row r="70" spans="3:3" ht="24.75" customHeight="1">
      <c r="C70"/>
    </row>
    <row r="71" spans="3:3" ht="24.75" customHeight="1">
      <c r="C71"/>
    </row>
    <row r="72" spans="3:3" ht="24.75" customHeight="1">
      <c r="C72"/>
    </row>
    <row r="73" spans="3:3" ht="24.75" customHeight="1">
      <c r="C73"/>
    </row>
    <row r="74" spans="3:3" ht="24.75" customHeight="1">
      <c r="C74"/>
    </row>
    <row r="75" spans="3:3" ht="24.75" customHeight="1">
      <c r="C75"/>
    </row>
    <row r="76" spans="3:3" ht="24.75" customHeight="1">
      <c r="C76"/>
    </row>
    <row r="77" spans="3:3" ht="24.75" customHeight="1">
      <c r="C77"/>
    </row>
    <row r="78" spans="3:3" ht="24.75" customHeight="1">
      <c r="C78"/>
    </row>
    <row r="79" spans="3:3" ht="24.75" customHeight="1"/>
    <row r="80" spans="3:3" ht="24.75" customHeight="1"/>
    <row r="81" ht="24.75" customHeight="1"/>
  </sheetData>
  <sheetProtection algorithmName="SHA-512" hashValue="0JCVJ+DrwPBxzuk1UHX+r4Q//43CEMz3BS/sc+ZKgsNvFLzw08A63vK4FqYSVx4kROfxn1Nb0YCA6+cIJ7tjjQ==" saltValue="92B+GoHwBwROfrXXirRByw==" spinCount="100000" sheet="1" objects="1" scenarios="1"/>
  <mergeCells count="2">
    <mergeCell ref="B1:D1"/>
    <mergeCell ref="B3:D3"/>
  </mergeCells>
  <conditionalFormatting sqref="D23">
    <cfRule type="cellIs" dxfId="4" priority="4" operator="greaterThan">
      <formula>"(B15+B16)*.07"</formula>
    </cfRule>
  </conditionalFormatting>
  <conditionalFormatting sqref="C17:C18 C57 C59 D9:D10 D15:D16 D44:D45 D60 D50:D51 D53:D56 D33:D38 D20 D22:D31 D47:D48 D12:D13 D41:D42">
    <cfRule type="containsBlanks" dxfId="3" priority="2">
      <formula>LEN(TRIM(C9))=0</formula>
    </cfRule>
  </conditionalFormatting>
  <dataValidations count="1">
    <dataValidation type="list" allowBlank="1" showInputMessage="1" showErrorMessage="1" sqref="C18" xr:uid="{A3E24370-E721-47F7-9BBD-C1F5276303FE}">
      <formula1>"5%,10%,15%"</formula1>
    </dataValidation>
  </dataValidations>
  <pageMargins left="0.25" right="0.25" top="0.75" bottom="0.75" header="0.3" footer="0.3"/>
  <pageSetup scale="65"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07F3-5869-4810-8CD8-C1665A5EA326}">
  <sheetPr codeName="Sheet6">
    <tabColor theme="8" tint="0.59999389629810485"/>
  </sheetPr>
  <dimension ref="A1:C45"/>
  <sheetViews>
    <sheetView showGridLines="0" tabSelected="1" zoomScale="80" zoomScaleNormal="80" workbookViewId="0">
      <selection activeCell="I21" sqref="I21"/>
    </sheetView>
  </sheetViews>
  <sheetFormatPr defaultRowHeight="15"/>
  <cols>
    <col min="1" max="1" width="42.85546875" customWidth="1"/>
    <col min="2" max="2" width="25.7109375" customWidth="1"/>
    <col min="3" max="3" width="2.140625" customWidth="1"/>
  </cols>
  <sheetData>
    <row r="1" spans="1:3" ht="31.5">
      <c r="A1" s="49" t="s">
        <v>171</v>
      </c>
      <c r="B1" s="49"/>
    </row>
    <row r="2" spans="1:3" ht="6" customHeight="1">
      <c r="A2" s="48"/>
      <c r="B2" s="48"/>
      <c r="C2" s="353"/>
    </row>
    <row r="3" spans="1:3" ht="6" customHeight="1">
      <c r="A3" s="354"/>
      <c r="B3" s="354"/>
      <c r="C3" s="354"/>
    </row>
    <row r="4" spans="1:3" ht="6" customHeight="1">
      <c r="A4" s="48"/>
      <c r="B4" s="48"/>
    </row>
    <row r="5" spans="1:3" ht="20.25" customHeight="1" thickBot="1"/>
    <row r="6" spans="1:3" ht="30" customHeight="1">
      <c r="A6" s="51" t="s">
        <v>172</v>
      </c>
      <c r="B6" s="47"/>
    </row>
    <row r="7" spans="1:3" ht="24" customHeight="1">
      <c r="A7" s="56" t="s">
        <v>173</v>
      </c>
      <c r="B7" s="185">
        <f>'Project Cost Summary'!$D$61</f>
        <v>0</v>
      </c>
    </row>
    <row r="8" spans="1:3" ht="24" customHeight="1" thickBot="1">
      <c r="A8" s="68"/>
      <c r="B8" s="69"/>
    </row>
    <row r="9" spans="1:3" ht="30.75" customHeight="1">
      <c r="A9" s="51" t="s">
        <v>174</v>
      </c>
      <c r="B9" s="47"/>
    </row>
    <row r="10" spans="1:3" ht="24.75" customHeight="1">
      <c r="A10" s="274" t="str">
        <f>Financing!A7</f>
        <v>Construction Loan</v>
      </c>
      <c r="B10" s="45">
        <f>Financing!G7</f>
        <v>0</v>
      </c>
    </row>
    <row r="11" spans="1:3" ht="24.75" customHeight="1">
      <c r="A11" s="276" t="str">
        <f>Financing!A8</f>
        <v>Conventional Loan</v>
      </c>
      <c r="B11" s="45">
        <f>Financing!G8</f>
        <v>0</v>
      </c>
    </row>
    <row r="12" spans="1:3" ht="24.75" customHeight="1">
      <c r="A12" s="274" t="str">
        <f>Financing!A9</f>
        <v>Interest-Only Loan</v>
      </c>
      <c r="B12" s="45">
        <f>Financing!G9</f>
        <v>0</v>
      </c>
    </row>
    <row r="13" spans="1:3" ht="24.75" customHeight="1">
      <c r="A13" s="274" t="str">
        <f>Financing!A10</f>
        <v>Deferred Loan</v>
      </c>
      <c r="B13" s="45">
        <f>Financing!G10</f>
        <v>0</v>
      </c>
    </row>
    <row r="14" spans="1:3" ht="24.75" customHeight="1">
      <c r="A14" s="274" t="str">
        <f>Financing!A11</f>
        <v>Deferred Developer Fee</v>
      </c>
      <c r="B14" s="45">
        <f>Financing!G11</f>
        <v>0</v>
      </c>
    </row>
    <row r="15" spans="1:3" ht="24.75" customHeight="1">
      <c r="A15" s="276" t="s">
        <v>175</v>
      </c>
      <c r="B15" s="498"/>
    </row>
    <row r="16" spans="1:3" ht="24.75" customHeight="1">
      <c r="A16" s="275" t="s">
        <v>176</v>
      </c>
      <c r="B16" s="498"/>
    </row>
    <row r="17" spans="1:2" ht="24.75" customHeight="1">
      <c r="A17" s="275" t="s">
        <v>177</v>
      </c>
      <c r="B17" s="498"/>
    </row>
    <row r="18" spans="1:2" ht="24.75" customHeight="1">
      <c r="A18" s="275" t="s">
        <v>178</v>
      </c>
      <c r="B18" s="498"/>
    </row>
    <row r="19" spans="1:2" ht="24.75" customHeight="1">
      <c r="A19" s="499"/>
      <c r="B19" s="498"/>
    </row>
    <row r="20" spans="1:2" ht="24" customHeight="1">
      <c r="A20" s="499"/>
      <c r="B20" s="498"/>
    </row>
    <row r="21" spans="1:2" ht="24" customHeight="1" thickBot="1">
      <c r="A21" s="500"/>
      <c r="B21" s="498"/>
    </row>
    <row r="22" spans="1:2" ht="24" customHeight="1" thickBot="1">
      <c r="A22" s="52" t="s">
        <v>179</v>
      </c>
      <c r="B22" s="53">
        <f>SUM(B11:B21)</f>
        <v>0</v>
      </c>
    </row>
    <row r="23" spans="1:2" ht="24.75" customHeight="1">
      <c r="A23" s="54"/>
      <c r="B23" s="278"/>
    </row>
    <row r="24" spans="1:2" ht="24.75" customHeight="1">
      <c r="A24" s="279" t="s">
        <v>180</v>
      </c>
      <c r="B24" s="186">
        <f>B22-B7</f>
        <v>0</v>
      </c>
    </row>
    <row r="25" spans="1:2" ht="24.75" customHeight="1">
      <c r="A25" s="280" t="s">
        <v>181</v>
      </c>
      <c r="B25" s="498"/>
    </row>
    <row r="26" spans="1:2" ht="24.75" customHeight="1" thickBot="1"/>
    <row r="27" spans="1:2" ht="24.75" customHeight="1" thickBot="1">
      <c r="A27" s="133" t="s">
        <v>182</v>
      </c>
      <c r="B27" s="21">
        <f>B24+B25</f>
        <v>0</v>
      </c>
    </row>
    <row r="28" spans="1:2" ht="24.75" customHeight="1"/>
    <row r="29" spans="1:2" ht="21" customHeight="1">
      <c r="A29" s="183"/>
      <c r="B29" s="184"/>
    </row>
    <row r="30" spans="1:2" ht="21" customHeight="1">
      <c r="A30" s="183"/>
      <c r="B30" s="184"/>
    </row>
    <row r="31" spans="1:2" ht="24" customHeight="1">
      <c r="A31" s="183"/>
      <c r="B31" s="39"/>
    </row>
    <row r="32" spans="1:2" ht="21" customHeight="1">
      <c r="A32" s="183"/>
      <c r="B32" s="39"/>
    </row>
    <row r="33" spans="1:3" ht="24" customHeight="1">
      <c r="A33" s="183"/>
      <c r="B33" s="39"/>
      <c r="C33" s="55"/>
    </row>
    <row r="34" spans="1:3">
      <c r="A34" s="183"/>
      <c r="B34" s="39"/>
    </row>
    <row r="35" spans="1:3" s="39" customFormat="1">
      <c r="A35" s="183"/>
    </row>
    <row r="36" spans="1:3" s="39" customFormat="1">
      <c r="A36" s="183"/>
    </row>
    <row r="37" spans="1:3" s="39" customFormat="1">
      <c r="A37" s="183"/>
    </row>
    <row r="38" spans="1:3" s="39" customFormat="1"/>
    <row r="39" spans="1:3" s="39" customFormat="1"/>
    <row r="40" spans="1:3" s="39" customFormat="1">
      <c r="A40"/>
      <c r="B40"/>
    </row>
    <row r="41" spans="1:3" s="39" customFormat="1">
      <c r="A41"/>
      <c r="B41"/>
    </row>
    <row r="42" spans="1:3" s="39" customFormat="1">
      <c r="A42"/>
      <c r="B42"/>
    </row>
    <row r="43" spans="1:3" s="39" customFormat="1">
      <c r="A43"/>
      <c r="B43"/>
    </row>
    <row r="44" spans="1:3" s="39" customFormat="1">
      <c r="A44"/>
      <c r="B44"/>
    </row>
    <row r="45" spans="1:3" s="39" customFormat="1">
      <c r="A45"/>
      <c r="B45"/>
    </row>
  </sheetData>
  <sheetProtection algorithmName="SHA-512" hashValue="jd65VC+nEAYCrAwnKh7YTpLPOQftY6ZXbKYezNJH+d/VbakfASKioXtE8a8YuSq+gHqeC1CgYjf8aJYOgmuTWg==" saltValue="4f9THnLWsCMnhjEI4dqnnA==" spinCount="100000" sheet="1" objects="1" scenarios="1"/>
  <conditionalFormatting sqref="A21:B21 B25 B12:B20 B10">
    <cfRule type="containsBlanks" dxfId="2" priority="3">
      <formula>LEN(TRIM(A10))=0</formula>
    </cfRule>
  </conditionalFormatting>
  <conditionalFormatting sqref="A19:A20">
    <cfRule type="containsBlanks" dxfId="1" priority="1">
      <formula>LEN(TRIM(A19))=0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5D260-4735-4861-B50E-CA8E876B540F}">
  <sheetPr codeName="Sheet3">
    <tabColor theme="8" tint="0.79998168889431442"/>
    <pageSetUpPr fitToPage="1"/>
  </sheetPr>
  <dimension ref="A1:AI34"/>
  <sheetViews>
    <sheetView showGridLines="0" zoomScale="80" zoomScaleNormal="80" workbookViewId="0">
      <selection activeCell="B5" sqref="B5:C5"/>
    </sheetView>
  </sheetViews>
  <sheetFormatPr defaultColWidth="9.140625" defaultRowHeight="24.95" customHeight="1"/>
  <cols>
    <col min="1" max="1" width="37.140625" style="15" customWidth="1"/>
    <col min="2" max="3" width="7.85546875" style="4" customWidth="1"/>
    <col min="4" max="4" width="14.28515625" style="4" customWidth="1"/>
    <col min="5" max="5" width="1.7109375" style="15" customWidth="1"/>
    <col min="6" max="6" width="14.28515625" style="5" customWidth="1"/>
    <col min="7" max="7" width="1.7109375" style="15" customWidth="1"/>
    <col min="8" max="8" width="14.28515625" style="5" customWidth="1"/>
    <col min="9" max="9" width="1.7109375" style="15" customWidth="1"/>
    <col min="10" max="10" width="14.28515625" style="5" customWidth="1"/>
    <col min="11" max="11" width="1.7109375" style="15" customWidth="1"/>
    <col min="12" max="12" width="14.28515625" style="4" customWidth="1"/>
    <col min="13" max="13" width="1.7109375" style="15" customWidth="1"/>
    <col min="14" max="14" width="14.28515625" style="4" customWidth="1"/>
    <col min="15" max="15" width="1.7109375" style="15" customWidth="1"/>
    <col min="16" max="16" width="14.28515625" style="4" customWidth="1"/>
    <col min="17" max="17" width="1.7109375" style="15" customWidth="1"/>
    <col min="18" max="18" width="14.28515625" style="4" customWidth="1"/>
    <col min="19" max="19" width="1.7109375" style="15" customWidth="1"/>
    <col min="20" max="20" width="14.28515625" style="4" customWidth="1"/>
    <col min="21" max="21" width="1.7109375" style="15" customWidth="1"/>
    <col min="22" max="22" width="14.28515625" style="4" customWidth="1"/>
    <col min="23" max="23" width="1.7109375" style="15" customWidth="1"/>
    <col min="24" max="24" width="14.28515625" style="4" customWidth="1"/>
    <col min="25" max="25" width="1.7109375" style="15" customWidth="1"/>
    <col min="26" max="26" width="14.28515625" style="4" customWidth="1"/>
    <col min="27" max="27" width="1.7109375" style="15" customWidth="1"/>
    <col min="28" max="28" width="14.28515625" style="4" customWidth="1"/>
    <col min="29" max="29" width="1.7109375" style="15" customWidth="1"/>
    <col min="30" max="30" width="14.28515625" style="4" customWidth="1"/>
    <col min="31" max="31" width="1.7109375" style="15" customWidth="1"/>
    <col min="32" max="32" width="14.28515625" style="4" customWidth="1"/>
    <col min="33" max="33" width="1.7109375" style="15" customWidth="1"/>
    <col min="34" max="34" width="14.28515625" style="4" customWidth="1"/>
    <col min="35" max="35" width="5.7109375" style="3" customWidth="1"/>
    <col min="36" max="16384" width="9.140625" style="4"/>
  </cols>
  <sheetData>
    <row r="1" spans="1:35" ht="31.5">
      <c r="A1" s="78" t="s">
        <v>183</v>
      </c>
      <c r="B1" s="78"/>
      <c r="C1" s="78"/>
      <c r="D1" s="78"/>
      <c r="E1" s="31"/>
      <c r="F1" s="78"/>
      <c r="G1" s="31"/>
      <c r="H1" s="78"/>
      <c r="M1" s="33"/>
      <c r="N1" s="19"/>
      <c r="O1" s="33"/>
      <c r="P1" s="19"/>
      <c r="Q1" s="33"/>
      <c r="R1" s="19"/>
      <c r="S1" s="33"/>
      <c r="T1" s="19"/>
      <c r="U1" s="33"/>
      <c r="V1" s="19"/>
      <c r="W1" s="33"/>
      <c r="X1" s="19"/>
      <c r="Y1" s="33"/>
      <c r="Z1" s="19"/>
      <c r="AA1" s="33"/>
      <c r="AB1" s="19"/>
      <c r="AC1" s="33"/>
      <c r="AD1" s="19"/>
      <c r="AE1" s="33"/>
      <c r="AF1" s="19"/>
      <c r="AG1" s="33"/>
      <c r="AH1" s="19"/>
    </row>
    <row r="2" spans="1:35" s="32" customFormat="1" ht="6" customHeight="1">
      <c r="A2" s="34"/>
      <c r="B2" s="34"/>
      <c r="C2" s="31"/>
      <c r="D2" s="31"/>
      <c r="E2" s="31"/>
      <c r="F2" s="33"/>
    </row>
    <row r="3" spans="1:35" customFormat="1" ht="6"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5" customFormat="1" ht="6" customHeight="1">
      <c r="A4" s="34"/>
      <c r="B4" s="34"/>
      <c r="C4" s="78"/>
      <c r="D4" s="78"/>
      <c r="E4" s="31"/>
      <c r="F4" s="19"/>
      <c r="G4" s="32"/>
      <c r="I4" s="32"/>
      <c r="K4" s="32"/>
      <c r="M4" s="32"/>
      <c r="O4" s="32"/>
      <c r="Q4" s="32"/>
      <c r="S4" s="32"/>
      <c r="U4" s="32"/>
      <c r="W4" s="32"/>
      <c r="Y4" s="32"/>
      <c r="AA4" s="32"/>
      <c r="AC4" s="32"/>
      <c r="AE4" s="32"/>
      <c r="AG4" s="32"/>
    </row>
    <row r="5" spans="1:35" ht="24.95" customHeight="1">
      <c r="A5" s="43" t="s">
        <v>184</v>
      </c>
      <c r="B5" s="474">
        <f>'Project Cost Summary'!D61</f>
        <v>0</v>
      </c>
      <c r="C5" s="474"/>
      <c r="D5" s="5"/>
      <c r="E5" s="6"/>
      <c r="G5" s="6"/>
      <c r="I5" s="6"/>
      <c r="K5" s="6"/>
      <c r="L5" s="5"/>
      <c r="M5" s="6"/>
      <c r="N5" s="5"/>
      <c r="O5" s="6"/>
      <c r="P5" s="5"/>
      <c r="Q5" s="6"/>
      <c r="R5" s="5"/>
      <c r="S5" s="6"/>
      <c r="T5" s="5"/>
      <c r="U5" s="6"/>
      <c r="V5" s="5"/>
      <c r="W5" s="6"/>
      <c r="X5" s="5"/>
      <c r="Y5" s="6"/>
      <c r="Z5" s="5"/>
      <c r="AA5" s="6"/>
      <c r="AB5" s="5"/>
      <c r="AC5" s="6"/>
      <c r="AD5" s="5"/>
      <c r="AE5" s="6"/>
      <c r="AF5" s="5"/>
      <c r="AG5" s="6"/>
    </row>
    <row r="6" spans="1:35" ht="24.95" customHeight="1">
      <c r="A6" s="43" t="s">
        <v>185</v>
      </c>
      <c r="B6" s="475">
        <v>0.02</v>
      </c>
      <c r="C6" s="475"/>
      <c r="D6" s="5"/>
      <c r="E6" s="6"/>
      <c r="G6" s="6"/>
      <c r="I6" s="6"/>
      <c r="K6" s="6"/>
      <c r="L6" s="5"/>
      <c r="M6" s="6"/>
      <c r="N6" s="5"/>
      <c r="O6" s="6"/>
      <c r="P6" s="5"/>
      <c r="Q6" s="6"/>
      <c r="R6" s="5"/>
      <c r="S6" s="6"/>
      <c r="T6" s="5"/>
      <c r="U6" s="6"/>
      <c r="V6" s="5"/>
      <c r="W6" s="6"/>
      <c r="X6" s="5"/>
      <c r="Y6" s="6"/>
      <c r="Z6" s="5"/>
      <c r="AA6" s="6"/>
      <c r="AB6" s="5"/>
      <c r="AC6" s="6"/>
      <c r="AD6" s="5"/>
      <c r="AE6" s="6"/>
      <c r="AF6" s="5"/>
      <c r="AG6" s="6"/>
    </row>
    <row r="7" spans="1:35" ht="24.95" customHeight="1" thickBot="1">
      <c r="A7" s="43" t="s">
        <v>186</v>
      </c>
      <c r="B7" s="475">
        <v>0.03</v>
      </c>
      <c r="C7" s="475"/>
      <c r="D7" s="5"/>
      <c r="E7" s="6"/>
      <c r="G7" s="6"/>
      <c r="I7" s="6"/>
      <c r="K7" s="6"/>
      <c r="L7" s="5"/>
      <c r="M7" s="6"/>
      <c r="N7" s="5"/>
      <c r="O7" s="6"/>
      <c r="P7" s="5"/>
      <c r="Q7" s="6"/>
      <c r="R7" s="5"/>
      <c r="S7" s="6"/>
      <c r="T7" s="5"/>
      <c r="U7" s="6"/>
      <c r="V7" s="5"/>
      <c r="W7" s="6"/>
      <c r="X7" s="5"/>
      <c r="Y7" s="6"/>
      <c r="Z7" s="5"/>
      <c r="AA7" s="6"/>
      <c r="AB7" s="5"/>
      <c r="AC7" s="6"/>
      <c r="AD7" s="5"/>
      <c r="AE7" s="6"/>
      <c r="AF7" s="5"/>
      <c r="AG7" s="6"/>
    </row>
    <row r="8" spans="1:35" s="9" customFormat="1" ht="16.5" thickTop="1" thickBot="1">
      <c r="A8" s="128"/>
      <c r="B8" s="7"/>
      <c r="C8" s="7"/>
      <c r="D8" s="58" t="s">
        <v>187</v>
      </c>
      <c r="E8" s="58"/>
      <c r="F8" s="57" t="s">
        <v>188</v>
      </c>
      <c r="G8" s="58"/>
      <c r="H8" s="57" t="s">
        <v>189</v>
      </c>
      <c r="I8" s="58"/>
      <c r="J8" s="57" t="s">
        <v>190</v>
      </c>
      <c r="K8" s="58"/>
      <c r="L8" s="57" t="s">
        <v>191</v>
      </c>
      <c r="M8" s="58"/>
      <c r="N8" s="57" t="s">
        <v>192</v>
      </c>
      <c r="O8" s="58"/>
      <c r="P8" s="57" t="s">
        <v>193</v>
      </c>
      <c r="Q8" s="58"/>
      <c r="R8" s="57" t="s">
        <v>194</v>
      </c>
      <c r="S8" s="58"/>
      <c r="T8" s="57" t="s">
        <v>195</v>
      </c>
      <c r="U8" s="58"/>
      <c r="V8" s="57" t="s">
        <v>196</v>
      </c>
      <c r="W8" s="58"/>
      <c r="X8" s="57" t="s">
        <v>197</v>
      </c>
      <c r="Y8" s="58"/>
      <c r="Z8" s="57" t="s">
        <v>198</v>
      </c>
      <c r="AA8" s="58"/>
      <c r="AB8" s="57" t="s">
        <v>199</v>
      </c>
      <c r="AC8" s="58"/>
      <c r="AD8" s="57" t="s">
        <v>200</v>
      </c>
      <c r="AE8" s="58"/>
      <c r="AF8" s="57" t="s">
        <v>201</v>
      </c>
      <c r="AG8" s="58"/>
      <c r="AH8" s="113" t="s">
        <v>202</v>
      </c>
      <c r="AI8" s="8"/>
    </row>
    <row r="9" spans="1:35" ht="30.75" customHeight="1">
      <c r="A9" s="117" t="s">
        <v>203</v>
      </c>
      <c r="B9" s="10"/>
      <c r="C9" s="10"/>
      <c r="D9" s="10"/>
      <c r="E9" s="11"/>
      <c r="F9" s="10"/>
      <c r="G9" s="11"/>
      <c r="H9" s="10"/>
      <c r="I9" s="11"/>
      <c r="J9" s="10"/>
      <c r="K9" s="11"/>
      <c r="L9" s="10"/>
      <c r="M9" s="11"/>
      <c r="N9" s="10"/>
      <c r="O9" s="11"/>
      <c r="P9" s="10"/>
      <c r="Q9" s="11"/>
      <c r="R9" s="10"/>
      <c r="S9" s="11"/>
      <c r="T9" s="10"/>
      <c r="U9" s="11"/>
      <c r="V9" s="10"/>
      <c r="W9" s="11"/>
      <c r="X9" s="10"/>
      <c r="Y9" s="11"/>
      <c r="Z9" s="10"/>
      <c r="AA9" s="11"/>
      <c r="AB9" s="10"/>
      <c r="AC9" s="11"/>
      <c r="AD9" s="10"/>
      <c r="AE9" s="11"/>
      <c r="AF9" s="10"/>
      <c r="AG9" s="11"/>
      <c r="AH9" s="59"/>
    </row>
    <row r="10" spans="1:35" ht="24.95" customHeight="1">
      <c r="A10" s="479" t="s">
        <v>204</v>
      </c>
      <c r="B10" s="480"/>
      <c r="C10" s="481"/>
      <c r="D10" s="50">
        <f>Operating!I33</f>
        <v>0</v>
      </c>
      <c r="E10" s="12"/>
      <c r="F10" s="406">
        <f>D10*(1+$B$6)</f>
        <v>0</v>
      </c>
      <c r="G10" s="12"/>
      <c r="H10" s="406">
        <f>F10*(1+$B$6)</f>
        <v>0</v>
      </c>
      <c r="I10" s="12"/>
      <c r="J10" s="406">
        <f>H10*(1+$B$6)</f>
        <v>0</v>
      </c>
      <c r="K10" s="12"/>
      <c r="L10" s="406">
        <f>J10*(1+$B$6)</f>
        <v>0</v>
      </c>
      <c r="M10" s="12"/>
      <c r="N10" s="406">
        <f>L10*(1+$B$6)</f>
        <v>0</v>
      </c>
      <c r="O10" s="27"/>
      <c r="P10" s="406">
        <f>N10*(1+$B$6)</f>
        <v>0</v>
      </c>
      <c r="Q10" s="27"/>
      <c r="R10" s="406">
        <f>P10*(1+$B$6)</f>
        <v>0</v>
      </c>
      <c r="S10" s="27"/>
      <c r="T10" s="406">
        <f>R10*(1+$B$6)</f>
        <v>0</v>
      </c>
      <c r="U10" s="27"/>
      <c r="V10" s="406">
        <f>T10*(1+$B$6)</f>
        <v>0</v>
      </c>
      <c r="W10" s="27"/>
      <c r="X10" s="406">
        <f>V10*(1+$B$6)</f>
        <v>0</v>
      </c>
      <c r="Y10" s="12"/>
      <c r="Z10" s="406">
        <f>X10*(1+$B$6)</f>
        <v>0</v>
      </c>
      <c r="AA10" s="27"/>
      <c r="AB10" s="406">
        <f>Z10*(1+$B$6)</f>
        <v>0</v>
      </c>
      <c r="AC10" s="27"/>
      <c r="AD10" s="406">
        <f>AB10*(1+$B$6)</f>
        <v>0</v>
      </c>
      <c r="AE10" s="27"/>
      <c r="AF10" s="406">
        <f>AD10*(1+$B$6)</f>
        <v>0</v>
      </c>
      <c r="AG10" s="27"/>
      <c r="AH10" s="60">
        <f>D10</f>
        <v>0</v>
      </c>
    </row>
    <row r="11" spans="1:35" ht="24.95" customHeight="1">
      <c r="A11" s="479" t="s">
        <v>205</v>
      </c>
      <c r="B11" s="480"/>
      <c r="C11" s="481"/>
      <c r="D11" s="20"/>
      <c r="E11" s="12"/>
      <c r="F11" s="406">
        <f>D11*(1+$B$6)</f>
        <v>0</v>
      </c>
      <c r="G11" s="12"/>
      <c r="H11" s="406">
        <f>F11*(1+$B$6)</f>
        <v>0</v>
      </c>
      <c r="I11" s="12"/>
      <c r="J11" s="406">
        <f>H11*(1+$B$6)</f>
        <v>0</v>
      </c>
      <c r="K11" s="12"/>
      <c r="L11" s="406">
        <f>J11*(1+$B$6)</f>
        <v>0</v>
      </c>
      <c r="M11" s="12"/>
      <c r="N11" s="406">
        <f>L11*(1+$B$6)</f>
        <v>0</v>
      </c>
      <c r="O11" s="27"/>
      <c r="P11" s="406">
        <f>N11*(1+$B$6)</f>
        <v>0</v>
      </c>
      <c r="Q11" s="27"/>
      <c r="R11" s="406">
        <f>P11*(1+$B$6)</f>
        <v>0</v>
      </c>
      <c r="S11" s="27"/>
      <c r="T11" s="406">
        <f>R11*(1+$B$6)</f>
        <v>0</v>
      </c>
      <c r="U11" s="27"/>
      <c r="V11" s="406">
        <f>T11*(1+$B$6)</f>
        <v>0</v>
      </c>
      <c r="W11" s="27"/>
      <c r="X11" s="406">
        <f>V11*(1+$B$6)</f>
        <v>0</v>
      </c>
      <c r="Y11" s="12"/>
      <c r="Z11" s="406">
        <f>X11*(1+$B$6)</f>
        <v>0</v>
      </c>
      <c r="AA11" s="27"/>
      <c r="AB11" s="406">
        <f>Z11*(1+$B$6)</f>
        <v>0</v>
      </c>
      <c r="AC11" s="27"/>
      <c r="AD11" s="406">
        <f>AB11*(1+$B$6)</f>
        <v>0</v>
      </c>
      <c r="AE11" s="27"/>
      <c r="AF11" s="406">
        <f>AD11*(1+$B$6)</f>
        <v>0</v>
      </c>
      <c r="AG11" s="27"/>
      <c r="AH11" s="61">
        <f>D11</f>
        <v>0</v>
      </c>
    </row>
    <row r="12" spans="1:35" ht="24.95" customHeight="1" thickBot="1">
      <c r="A12" s="479" t="s">
        <v>206</v>
      </c>
      <c r="B12" s="480"/>
      <c r="C12" s="481"/>
      <c r="D12" s="20"/>
      <c r="E12" s="12"/>
      <c r="F12" s="406">
        <f>D12*(1+$B$6)</f>
        <v>0</v>
      </c>
      <c r="G12" s="12"/>
      <c r="H12" s="406">
        <f>F12*(1+$B$6)</f>
        <v>0</v>
      </c>
      <c r="I12" s="12"/>
      <c r="J12" s="406">
        <f>H12*(1+$B$6)</f>
        <v>0</v>
      </c>
      <c r="K12" s="12"/>
      <c r="L12" s="406">
        <f>J12*(1+$B$6)</f>
        <v>0</v>
      </c>
      <c r="M12" s="12"/>
      <c r="N12" s="406">
        <f>L12*(1+$B$6)</f>
        <v>0</v>
      </c>
      <c r="O12" s="27"/>
      <c r="P12" s="406">
        <f>N12*(1+$B$6)</f>
        <v>0</v>
      </c>
      <c r="Q12" s="27"/>
      <c r="R12" s="406">
        <f>P12*(1+$B$6)</f>
        <v>0</v>
      </c>
      <c r="S12" s="27"/>
      <c r="T12" s="406">
        <f>R12*(1+$B$6)</f>
        <v>0</v>
      </c>
      <c r="U12" s="27"/>
      <c r="V12" s="406">
        <f>T12*(1+$B$6)</f>
        <v>0</v>
      </c>
      <c r="W12" s="27"/>
      <c r="X12" s="406">
        <f>V12*(1+$B$6)</f>
        <v>0</v>
      </c>
      <c r="Y12" s="12"/>
      <c r="Z12" s="406">
        <f>X12*(1+$B$6)</f>
        <v>0</v>
      </c>
      <c r="AA12" s="27"/>
      <c r="AB12" s="406">
        <f>Z12*(1+$B$6)</f>
        <v>0</v>
      </c>
      <c r="AC12" s="27"/>
      <c r="AD12" s="406">
        <f>AB12*(1+$B$6)</f>
        <v>0</v>
      </c>
      <c r="AE12" s="27"/>
      <c r="AF12" s="406">
        <f>AD12*(1+$B$6)</f>
        <v>0</v>
      </c>
      <c r="AG12" s="27"/>
      <c r="AH12" s="61">
        <f>D12</f>
        <v>0</v>
      </c>
    </row>
    <row r="13" spans="1:35" s="13" customFormat="1" ht="24.95" customHeight="1" thickBot="1">
      <c r="A13" s="482" t="s">
        <v>207</v>
      </c>
      <c r="B13" s="477"/>
      <c r="C13" s="478"/>
      <c r="D13" s="21">
        <f>SUM(D10:D12)</f>
        <v>0</v>
      </c>
      <c r="E13" s="12"/>
      <c r="F13" s="21">
        <f>SUM(F10:F12)</f>
        <v>0</v>
      </c>
      <c r="G13" s="12"/>
      <c r="H13" s="21">
        <f>SUM(H10:H12)</f>
        <v>0</v>
      </c>
      <c r="I13" s="12"/>
      <c r="J13" s="21">
        <f>SUM(J10:J12)</f>
        <v>0</v>
      </c>
      <c r="K13" s="12"/>
      <c r="L13" s="21">
        <f>SUM(L10:L12)</f>
        <v>0</v>
      </c>
      <c r="M13" s="12"/>
      <c r="N13" s="21">
        <f>SUM(N10:N12)</f>
        <v>0</v>
      </c>
      <c r="O13" s="27"/>
      <c r="P13" s="21">
        <f>SUM(P10:P12)</f>
        <v>0</v>
      </c>
      <c r="Q13" s="27"/>
      <c r="R13" s="21">
        <f>SUM(R10:R12)</f>
        <v>0</v>
      </c>
      <c r="S13" s="27"/>
      <c r="T13" s="21">
        <f>SUM(T10:T12)</f>
        <v>0</v>
      </c>
      <c r="U13" s="27"/>
      <c r="V13" s="21">
        <f>SUM(V10:V12)</f>
        <v>0</v>
      </c>
      <c r="W13" s="27"/>
      <c r="X13" s="21">
        <f>SUM(X10:X12)</f>
        <v>0</v>
      </c>
      <c r="Y13" s="12"/>
      <c r="Z13" s="21">
        <f>SUM(Z10:Z12)</f>
        <v>0</v>
      </c>
      <c r="AA13" s="27"/>
      <c r="AB13" s="21">
        <f>SUM(AB10:AB12)</f>
        <v>0</v>
      </c>
      <c r="AC13" s="27"/>
      <c r="AD13" s="21">
        <f>SUM(AD10:AD12)</f>
        <v>0</v>
      </c>
      <c r="AE13" s="27"/>
      <c r="AF13" s="21">
        <f>SUM(AF10:AF12)</f>
        <v>0</v>
      </c>
      <c r="AG13" s="27"/>
      <c r="AH13" s="62">
        <f>SUM(AH10:AH12)</f>
        <v>0</v>
      </c>
      <c r="AI13" s="3"/>
    </row>
    <row r="14" spans="1:35" ht="15" customHeight="1">
      <c r="B14" s="14" t="s">
        <v>208</v>
      </c>
      <c r="C14" s="14" t="s">
        <v>209</v>
      </c>
      <c r="D14" s="26"/>
      <c r="F14" s="22"/>
      <c r="H14" s="22"/>
      <c r="J14" s="22"/>
      <c r="L14" s="26"/>
      <c r="N14" s="26"/>
      <c r="O14" s="28"/>
      <c r="P14" s="26"/>
      <c r="Q14" s="28"/>
      <c r="R14" s="26"/>
      <c r="S14" s="28"/>
      <c r="T14" s="26"/>
      <c r="U14" s="28"/>
      <c r="V14" s="26"/>
      <c r="W14" s="28"/>
      <c r="X14" s="26"/>
      <c r="Z14" s="26"/>
      <c r="AA14" s="28"/>
      <c r="AB14" s="26"/>
      <c r="AC14" s="28"/>
      <c r="AD14" s="26"/>
      <c r="AE14" s="28"/>
      <c r="AF14" s="26"/>
      <c r="AG14" s="28"/>
      <c r="AH14" s="63"/>
    </row>
    <row r="15" spans="1:35" ht="24.95" customHeight="1">
      <c r="A15" s="44" t="s">
        <v>210</v>
      </c>
      <c r="B15" s="192">
        <v>7.0000000000000007E-2</v>
      </c>
      <c r="C15" s="187"/>
      <c r="D15" s="406">
        <f>$D$10*$B$15</f>
        <v>0</v>
      </c>
      <c r="E15" s="12"/>
      <c r="F15" s="406">
        <f>F10*$C$15</f>
        <v>0</v>
      </c>
      <c r="G15" s="12"/>
      <c r="H15" s="406">
        <f>H10*$C$15</f>
        <v>0</v>
      </c>
      <c r="I15" s="12"/>
      <c r="J15" s="406">
        <f>J10*$C$15</f>
        <v>0</v>
      </c>
      <c r="K15" s="12"/>
      <c r="L15" s="406">
        <f>L10*$C$15</f>
        <v>0</v>
      </c>
      <c r="M15" s="12"/>
      <c r="N15" s="406">
        <f>N10*$C$15</f>
        <v>0</v>
      </c>
      <c r="O15" s="27"/>
      <c r="P15" s="406">
        <f>P10*$C$15</f>
        <v>0</v>
      </c>
      <c r="Q15" s="27"/>
      <c r="R15" s="406">
        <f>R10*$C$15</f>
        <v>0</v>
      </c>
      <c r="S15" s="27"/>
      <c r="T15" s="406">
        <f>T10*$C$15</f>
        <v>0</v>
      </c>
      <c r="U15" s="27"/>
      <c r="V15" s="406">
        <f>V10*$C$15</f>
        <v>0</v>
      </c>
      <c r="W15" s="27"/>
      <c r="X15" s="406">
        <f>X10*$C$15</f>
        <v>0</v>
      </c>
      <c r="Y15" s="12"/>
      <c r="Z15" s="406">
        <f>Z10*$C$15</f>
        <v>0</v>
      </c>
      <c r="AA15" s="27"/>
      <c r="AB15" s="406">
        <f>AB10*$C$15</f>
        <v>0</v>
      </c>
      <c r="AC15" s="27"/>
      <c r="AD15" s="406">
        <f>AD10*$C$15</f>
        <v>0</v>
      </c>
      <c r="AE15" s="27"/>
      <c r="AF15" s="406">
        <f>AF10*$C$15</f>
        <v>0</v>
      </c>
      <c r="AG15" s="27"/>
      <c r="AH15" s="60">
        <f>AH10*$C$15</f>
        <v>0</v>
      </c>
    </row>
    <row r="16" spans="1:35" ht="24.95" customHeight="1" thickBot="1">
      <c r="A16" s="356" t="s">
        <v>211</v>
      </c>
      <c r="B16" s="127"/>
      <c r="C16" s="188"/>
      <c r="D16" s="406">
        <f>$D$10*$C$16</f>
        <v>0</v>
      </c>
      <c r="E16" s="12"/>
      <c r="F16" s="406">
        <f>F$10*$C$16</f>
        <v>0</v>
      </c>
      <c r="G16" s="12"/>
      <c r="H16" s="406">
        <f>H$10*$C$16</f>
        <v>0</v>
      </c>
      <c r="I16" s="12"/>
      <c r="J16" s="406">
        <f>J$10*$C$16</f>
        <v>0</v>
      </c>
      <c r="K16" s="12"/>
      <c r="L16" s="406">
        <f>L$10*$C$16</f>
        <v>0</v>
      </c>
      <c r="M16" s="12"/>
      <c r="N16" s="406">
        <f>N$10*$C$16</f>
        <v>0</v>
      </c>
      <c r="O16" s="27"/>
      <c r="P16" s="406">
        <f>P$10*$C$16</f>
        <v>0</v>
      </c>
      <c r="Q16" s="27"/>
      <c r="R16" s="406">
        <f>R$10*$C$16</f>
        <v>0</v>
      </c>
      <c r="S16" s="27"/>
      <c r="T16" s="406">
        <f>T$10*$C$16</f>
        <v>0</v>
      </c>
      <c r="U16" s="27"/>
      <c r="V16" s="406">
        <f>V$10*$C$16</f>
        <v>0</v>
      </c>
      <c r="W16" s="27"/>
      <c r="X16" s="406">
        <f>X$10*$C$16</f>
        <v>0</v>
      </c>
      <c r="Y16" s="12"/>
      <c r="Z16" s="406">
        <f>Z$10*$C$16</f>
        <v>0</v>
      </c>
      <c r="AA16" s="27"/>
      <c r="AB16" s="406">
        <f>AB$10*$C$16</f>
        <v>0</v>
      </c>
      <c r="AC16" s="27"/>
      <c r="AD16" s="406">
        <f>AD$10*$C$16</f>
        <v>0</v>
      </c>
      <c r="AE16" s="27"/>
      <c r="AF16" s="406">
        <f>AF$10*$C$16</f>
        <v>0</v>
      </c>
      <c r="AG16" s="27"/>
      <c r="AH16" s="60">
        <f>AH$10*$C$16</f>
        <v>0</v>
      </c>
    </row>
    <row r="17" spans="1:35" s="13" customFormat="1" ht="30" customHeight="1" thickBot="1">
      <c r="A17" s="476" t="s">
        <v>212</v>
      </c>
      <c r="B17" s="477"/>
      <c r="C17" s="478"/>
      <c r="D17" s="23">
        <f>D13-SUM(D15:D16)</f>
        <v>0</v>
      </c>
      <c r="E17" s="12"/>
      <c r="F17" s="23">
        <f>F13-SUM(F15:F16)</f>
        <v>0</v>
      </c>
      <c r="G17" s="12"/>
      <c r="H17" s="23">
        <f>H13-SUM(H15:H16)</f>
        <v>0</v>
      </c>
      <c r="I17" s="12"/>
      <c r="J17" s="23">
        <f>J13-SUM(J15:J16)</f>
        <v>0</v>
      </c>
      <c r="K17" s="12"/>
      <c r="L17" s="23">
        <f>L13-SUM(L15:L16)</f>
        <v>0</v>
      </c>
      <c r="M17" s="12"/>
      <c r="N17" s="23">
        <f>N13-SUM(N15:N16)</f>
        <v>0</v>
      </c>
      <c r="O17" s="27"/>
      <c r="P17" s="23">
        <f>P13-SUM(P15:P16)</f>
        <v>0</v>
      </c>
      <c r="Q17" s="27"/>
      <c r="R17" s="23">
        <f>R13-SUM(R15:R16)</f>
        <v>0</v>
      </c>
      <c r="S17" s="27"/>
      <c r="T17" s="23">
        <f>T13-SUM(T15:T16)</f>
        <v>0</v>
      </c>
      <c r="U17" s="27"/>
      <c r="V17" s="23">
        <f>V13-SUM(V15:V16)</f>
        <v>0</v>
      </c>
      <c r="W17" s="27"/>
      <c r="X17" s="23">
        <f>X13-SUM(X15:X16)</f>
        <v>0</v>
      </c>
      <c r="Y17" s="12"/>
      <c r="Z17" s="23">
        <f>Z13-SUM(Z15:Z16)</f>
        <v>0</v>
      </c>
      <c r="AA17" s="27"/>
      <c r="AB17" s="23">
        <f>AB13-SUM(AB15:AB16)</f>
        <v>0</v>
      </c>
      <c r="AC17" s="27"/>
      <c r="AD17" s="23">
        <f>AD13-SUM(AD15:AD16)</f>
        <v>0</v>
      </c>
      <c r="AE17" s="27"/>
      <c r="AF17" s="23">
        <f>AF13-SUM(AF15:AF16)</f>
        <v>0</v>
      </c>
      <c r="AG17" s="27"/>
      <c r="AH17" s="64">
        <f>AH13-SUM(AH15:AH16)</f>
        <v>0</v>
      </c>
      <c r="AI17" s="3"/>
    </row>
    <row r="18" spans="1:35" ht="30.75" customHeight="1">
      <c r="A18" s="119" t="s">
        <v>213</v>
      </c>
      <c r="B18" s="11"/>
      <c r="C18" s="116"/>
      <c r="D18" s="24"/>
      <c r="E18" s="11"/>
      <c r="F18" s="24"/>
      <c r="G18" s="11"/>
      <c r="H18" s="24"/>
      <c r="I18" s="11"/>
      <c r="J18" s="24"/>
      <c r="K18" s="11"/>
      <c r="L18" s="24"/>
      <c r="M18" s="11"/>
      <c r="N18" s="24"/>
      <c r="O18" s="24"/>
      <c r="P18" s="24"/>
      <c r="Q18" s="24"/>
      <c r="R18" s="24"/>
      <c r="S18" s="24"/>
      <c r="T18" s="24"/>
      <c r="U18" s="24"/>
      <c r="V18" s="24"/>
      <c r="W18" s="24"/>
      <c r="X18" s="24"/>
      <c r="Y18" s="11"/>
      <c r="Z18" s="24"/>
      <c r="AA18" s="24"/>
      <c r="AB18" s="24"/>
      <c r="AC18" s="24"/>
      <c r="AD18" s="24"/>
      <c r="AE18" s="24"/>
      <c r="AF18" s="24"/>
      <c r="AG18" s="24"/>
      <c r="AH18" s="65"/>
    </row>
    <row r="19" spans="1:35" ht="24" customHeight="1">
      <c r="A19" s="471" t="s">
        <v>214</v>
      </c>
      <c r="B19" s="472"/>
      <c r="C19" s="473"/>
      <c r="D19" s="407">
        <f>Operating!C54</f>
        <v>0</v>
      </c>
      <c r="E19" s="12"/>
      <c r="F19" s="407">
        <f t="shared" ref="F19:F23" si="0">D19*(1+$B$7)</f>
        <v>0</v>
      </c>
      <c r="G19" s="12"/>
      <c r="H19" s="407">
        <f t="shared" ref="H19:H23" si="1">F19*(1+$B$7)</f>
        <v>0</v>
      </c>
      <c r="I19" s="12"/>
      <c r="J19" s="407">
        <f t="shared" ref="J19:J23" si="2">H19*(1+$B$7)</f>
        <v>0</v>
      </c>
      <c r="K19" s="12"/>
      <c r="L19" s="407">
        <f t="shared" ref="L19:L23" si="3">J19*(1+$B$7)</f>
        <v>0</v>
      </c>
      <c r="M19" s="12"/>
      <c r="N19" s="407">
        <f t="shared" ref="N19:N23" si="4">L19*(1+$B$7)</f>
        <v>0</v>
      </c>
      <c r="O19" s="27"/>
      <c r="P19" s="407">
        <f t="shared" ref="P19:P23" si="5">N19*(1+$B$7)</f>
        <v>0</v>
      </c>
      <c r="Q19" s="27"/>
      <c r="R19" s="407">
        <f t="shared" ref="R19:R23" si="6">P19*(1+$B$7)</f>
        <v>0</v>
      </c>
      <c r="S19" s="27"/>
      <c r="T19" s="407">
        <f t="shared" ref="T19:T23" si="7">R19*(1+$B$7)</f>
        <v>0</v>
      </c>
      <c r="U19" s="27"/>
      <c r="V19" s="407">
        <f t="shared" ref="V19:V23" si="8">T19*(1+$B$7)</f>
        <v>0</v>
      </c>
      <c r="W19" s="27"/>
      <c r="X19" s="407">
        <f t="shared" ref="X19:X23" si="9">V19*(1+$B$7)</f>
        <v>0</v>
      </c>
      <c r="Y19" s="12"/>
      <c r="Z19" s="407">
        <f t="shared" ref="Z19:Z23" si="10">X19*(1+$B$7)</f>
        <v>0</v>
      </c>
      <c r="AA19" s="27"/>
      <c r="AB19" s="407">
        <f t="shared" ref="AB19:AB23" si="11">Z19*(1+$B$7)</f>
        <v>0</v>
      </c>
      <c r="AC19" s="27"/>
      <c r="AD19" s="407">
        <f t="shared" ref="AD19:AD23" si="12">AB19*(1+$B$7)</f>
        <v>0</v>
      </c>
      <c r="AE19" s="27"/>
      <c r="AF19" s="407">
        <f t="shared" ref="AF19:AF23" si="13">AD19*(1+$B$7)</f>
        <v>0</v>
      </c>
      <c r="AG19" s="27"/>
      <c r="AH19" s="163">
        <f>D19*(1+$B$7)</f>
        <v>0</v>
      </c>
    </row>
    <row r="20" spans="1:35" ht="24" customHeight="1">
      <c r="A20" s="471" t="s">
        <v>215</v>
      </c>
      <c r="B20" s="472"/>
      <c r="C20" s="473"/>
      <c r="D20" s="407">
        <f>Operating!C64</f>
        <v>0</v>
      </c>
      <c r="E20" s="12"/>
      <c r="F20" s="407">
        <f t="shared" si="0"/>
        <v>0</v>
      </c>
      <c r="G20" s="12"/>
      <c r="H20" s="407">
        <f t="shared" si="1"/>
        <v>0</v>
      </c>
      <c r="I20" s="12"/>
      <c r="J20" s="407">
        <f t="shared" si="2"/>
        <v>0</v>
      </c>
      <c r="K20" s="12"/>
      <c r="L20" s="407">
        <f t="shared" si="3"/>
        <v>0</v>
      </c>
      <c r="M20" s="12"/>
      <c r="N20" s="407">
        <f t="shared" si="4"/>
        <v>0</v>
      </c>
      <c r="O20" s="27"/>
      <c r="P20" s="407">
        <f t="shared" si="5"/>
        <v>0</v>
      </c>
      <c r="Q20" s="27"/>
      <c r="R20" s="407">
        <f t="shared" si="6"/>
        <v>0</v>
      </c>
      <c r="S20" s="27"/>
      <c r="T20" s="407">
        <f t="shared" si="7"/>
        <v>0</v>
      </c>
      <c r="U20" s="27"/>
      <c r="V20" s="407">
        <f t="shared" si="8"/>
        <v>0</v>
      </c>
      <c r="W20" s="27"/>
      <c r="X20" s="407">
        <f t="shared" si="9"/>
        <v>0</v>
      </c>
      <c r="Y20" s="12"/>
      <c r="Z20" s="407">
        <f t="shared" si="10"/>
        <v>0</v>
      </c>
      <c r="AA20" s="27"/>
      <c r="AB20" s="407">
        <f t="shared" si="11"/>
        <v>0</v>
      </c>
      <c r="AC20" s="27"/>
      <c r="AD20" s="407">
        <f t="shared" si="12"/>
        <v>0</v>
      </c>
      <c r="AE20" s="27"/>
      <c r="AF20" s="407">
        <f t="shared" si="13"/>
        <v>0</v>
      </c>
      <c r="AG20" s="27"/>
      <c r="AH20" s="163">
        <f>D20*(1+$B$7)</f>
        <v>0</v>
      </c>
    </row>
    <row r="21" spans="1:35" ht="24" customHeight="1">
      <c r="A21" s="471" t="s">
        <v>216</v>
      </c>
      <c r="B21" s="472"/>
      <c r="C21" s="473"/>
      <c r="D21" s="407">
        <f>Operating!C75</f>
        <v>0</v>
      </c>
      <c r="E21" s="12"/>
      <c r="F21" s="407">
        <f t="shared" si="0"/>
        <v>0</v>
      </c>
      <c r="G21" s="12"/>
      <c r="H21" s="407">
        <f t="shared" si="1"/>
        <v>0</v>
      </c>
      <c r="I21" s="12"/>
      <c r="J21" s="407">
        <f t="shared" si="2"/>
        <v>0</v>
      </c>
      <c r="K21" s="12"/>
      <c r="L21" s="407">
        <f t="shared" si="3"/>
        <v>0</v>
      </c>
      <c r="M21" s="12"/>
      <c r="N21" s="407">
        <f t="shared" si="4"/>
        <v>0</v>
      </c>
      <c r="O21" s="27"/>
      <c r="P21" s="407">
        <f t="shared" si="5"/>
        <v>0</v>
      </c>
      <c r="Q21" s="27"/>
      <c r="R21" s="407">
        <f t="shared" si="6"/>
        <v>0</v>
      </c>
      <c r="S21" s="27"/>
      <c r="T21" s="407">
        <f t="shared" si="7"/>
        <v>0</v>
      </c>
      <c r="U21" s="27"/>
      <c r="V21" s="407">
        <f t="shared" si="8"/>
        <v>0</v>
      </c>
      <c r="W21" s="27"/>
      <c r="X21" s="407">
        <f t="shared" si="9"/>
        <v>0</v>
      </c>
      <c r="Y21" s="12"/>
      <c r="Z21" s="407">
        <f t="shared" si="10"/>
        <v>0</v>
      </c>
      <c r="AA21" s="27"/>
      <c r="AB21" s="407">
        <f t="shared" si="11"/>
        <v>0</v>
      </c>
      <c r="AC21" s="27"/>
      <c r="AD21" s="407">
        <f t="shared" si="12"/>
        <v>0</v>
      </c>
      <c r="AE21" s="27"/>
      <c r="AF21" s="407">
        <f t="shared" si="13"/>
        <v>0</v>
      </c>
      <c r="AG21" s="27"/>
      <c r="AH21" s="163">
        <f>D21*(1+$B$7)</f>
        <v>0</v>
      </c>
    </row>
    <row r="22" spans="1:35" ht="24" customHeight="1">
      <c r="A22" s="471" t="s">
        <v>217</v>
      </c>
      <c r="B22" s="472"/>
      <c r="C22" s="473"/>
      <c r="D22" s="407">
        <f>Operating!C80</f>
        <v>0</v>
      </c>
      <c r="E22" s="12"/>
      <c r="F22" s="407">
        <f t="shared" si="0"/>
        <v>0</v>
      </c>
      <c r="G22" s="12"/>
      <c r="H22" s="407">
        <f t="shared" si="1"/>
        <v>0</v>
      </c>
      <c r="I22" s="12"/>
      <c r="J22" s="407">
        <f t="shared" si="2"/>
        <v>0</v>
      </c>
      <c r="K22" s="12"/>
      <c r="L22" s="407">
        <f t="shared" si="3"/>
        <v>0</v>
      </c>
      <c r="M22" s="12"/>
      <c r="N22" s="407">
        <f t="shared" si="4"/>
        <v>0</v>
      </c>
      <c r="O22" s="27"/>
      <c r="P22" s="407">
        <f t="shared" si="5"/>
        <v>0</v>
      </c>
      <c r="Q22" s="27"/>
      <c r="R22" s="407">
        <f t="shared" si="6"/>
        <v>0</v>
      </c>
      <c r="S22" s="27"/>
      <c r="T22" s="407">
        <f t="shared" si="7"/>
        <v>0</v>
      </c>
      <c r="U22" s="27"/>
      <c r="V22" s="407">
        <f t="shared" si="8"/>
        <v>0</v>
      </c>
      <c r="W22" s="27"/>
      <c r="X22" s="407">
        <f t="shared" si="9"/>
        <v>0</v>
      </c>
      <c r="Y22" s="12"/>
      <c r="Z22" s="407">
        <f t="shared" si="10"/>
        <v>0</v>
      </c>
      <c r="AA22" s="27"/>
      <c r="AB22" s="407">
        <f t="shared" si="11"/>
        <v>0</v>
      </c>
      <c r="AC22" s="27"/>
      <c r="AD22" s="407">
        <f t="shared" si="12"/>
        <v>0</v>
      </c>
      <c r="AE22" s="27"/>
      <c r="AF22" s="407">
        <f t="shared" si="13"/>
        <v>0</v>
      </c>
      <c r="AG22" s="27"/>
      <c r="AH22" s="163">
        <f>D22*(1+$B$7)</f>
        <v>0</v>
      </c>
    </row>
    <row r="23" spans="1:35" s="165" customFormat="1" ht="24.75" customHeight="1" thickBot="1">
      <c r="A23" s="472" t="s">
        <v>218</v>
      </c>
      <c r="B23" s="472"/>
      <c r="C23" s="473"/>
      <c r="D23" s="160">
        <f>Operating!C83</f>
        <v>0</v>
      </c>
      <c r="E23" s="161"/>
      <c r="F23" s="160">
        <f t="shared" si="0"/>
        <v>0</v>
      </c>
      <c r="G23" s="161"/>
      <c r="H23" s="160">
        <f t="shared" si="1"/>
        <v>0</v>
      </c>
      <c r="I23" s="161"/>
      <c r="J23" s="160">
        <f t="shared" si="2"/>
        <v>0</v>
      </c>
      <c r="K23" s="161"/>
      <c r="L23" s="160">
        <f t="shared" si="3"/>
        <v>0</v>
      </c>
      <c r="M23" s="161"/>
      <c r="N23" s="160">
        <f t="shared" si="4"/>
        <v>0</v>
      </c>
      <c r="O23" s="162"/>
      <c r="P23" s="160">
        <f t="shared" si="5"/>
        <v>0</v>
      </c>
      <c r="Q23" s="162"/>
      <c r="R23" s="160">
        <f t="shared" si="6"/>
        <v>0</v>
      </c>
      <c r="S23" s="162"/>
      <c r="T23" s="160">
        <f t="shared" si="7"/>
        <v>0</v>
      </c>
      <c r="U23" s="162"/>
      <c r="V23" s="160">
        <f t="shared" si="8"/>
        <v>0</v>
      </c>
      <c r="W23" s="162"/>
      <c r="X23" s="160">
        <f t="shared" si="9"/>
        <v>0</v>
      </c>
      <c r="Y23" s="161"/>
      <c r="Z23" s="160">
        <f t="shared" si="10"/>
        <v>0</v>
      </c>
      <c r="AA23" s="162"/>
      <c r="AB23" s="160">
        <f t="shared" si="11"/>
        <v>0</v>
      </c>
      <c r="AC23" s="162"/>
      <c r="AD23" s="160">
        <f t="shared" si="12"/>
        <v>0</v>
      </c>
      <c r="AE23" s="162"/>
      <c r="AF23" s="160">
        <f t="shared" si="13"/>
        <v>0</v>
      </c>
      <c r="AG23" s="162"/>
      <c r="AH23" s="285">
        <f>D23*(1+$B$7)</f>
        <v>0</v>
      </c>
      <c r="AI23" s="164"/>
    </row>
    <row r="24" spans="1:35" s="15" customFormat="1" ht="24" customHeight="1">
      <c r="A24" s="490" t="s">
        <v>219</v>
      </c>
      <c r="B24" s="490"/>
      <c r="C24" s="491"/>
      <c r="D24" s="129">
        <f>D17-SUM(D19:D23)</f>
        <v>0</v>
      </c>
      <c r="E24" s="16"/>
      <c r="F24" s="129">
        <f>F17-SUM(F19:F23)</f>
        <v>0</v>
      </c>
      <c r="G24" s="16"/>
      <c r="H24" s="129">
        <f>H17-SUM(H19:H23)</f>
        <v>0</v>
      </c>
      <c r="I24" s="16"/>
      <c r="J24" s="129">
        <f>J17-SUM(J19:J23)</f>
        <v>0</v>
      </c>
      <c r="K24" s="16"/>
      <c r="L24" s="129">
        <f>L17-SUM(L19:L23)</f>
        <v>0</v>
      </c>
      <c r="M24" s="16"/>
      <c r="N24" s="129">
        <f>N17-SUM(N19:N23)</f>
        <v>0</v>
      </c>
      <c r="O24" s="29"/>
      <c r="P24" s="129">
        <f>P17-SUM(P19:P23)</f>
        <v>0</v>
      </c>
      <c r="Q24" s="29"/>
      <c r="R24" s="129">
        <f>R17-SUM(R19:R23)</f>
        <v>0</v>
      </c>
      <c r="S24" s="29"/>
      <c r="T24" s="129">
        <f>T17-SUM(T19:T23)</f>
        <v>0</v>
      </c>
      <c r="U24" s="29"/>
      <c r="V24" s="129">
        <f>V17-SUM(V19:V23)</f>
        <v>0</v>
      </c>
      <c r="W24" s="29"/>
      <c r="X24" s="129">
        <f>X17-SUM(X19:X23)</f>
        <v>0</v>
      </c>
      <c r="Y24" s="16"/>
      <c r="Z24" s="129">
        <f>Z17-SUM(Z19:Z23)</f>
        <v>0</v>
      </c>
      <c r="AA24" s="29"/>
      <c r="AB24" s="129">
        <f>AB17-SUM(AB19:AB23)</f>
        <v>0</v>
      </c>
      <c r="AC24" s="29"/>
      <c r="AD24" s="129">
        <f>AD17-SUM(AD19:AD23)</f>
        <v>0</v>
      </c>
      <c r="AE24" s="29"/>
      <c r="AF24" s="129">
        <f>AF17-SUM(AF19:AF23)</f>
        <v>0</v>
      </c>
      <c r="AG24" s="29"/>
      <c r="AH24" s="130">
        <f>AH17-SUM(AH19:AH23)</f>
        <v>0</v>
      </c>
      <c r="AI24" s="118"/>
    </row>
    <row r="25" spans="1:35" s="15" customFormat="1" ht="24" customHeight="1" thickBot="1">
      <c r="A25" s="487" t="s">
        <v>220</v>
      </c>
      <c r="B25" s="487"/>
      <c r="C25" s="488"/>
      <c r="D25" s="131" t="str">
        <f>IFERROR(D24/D17,"")</f>
        <v/>
      </c>
      <c r="E25" s="126"/>
      <c r="F25" s="131" t="str">
        <f>IFERROR(F24/F17,"")</f>
        <v/>
      </c>
      <c r="G25" s="126"/>
      <c r="H25" s="131" t="str">
        <f>IFERROR(H24/H17,"")</f>
        <v/>
      </c>
      <c r="I25" s="126"/>
      <c r="J25" s="131" t="str">
        <f>IFERROR(J24/J17,"")</f>
        <v/>
      </c>
      <c r="K25" s="126"/>
      <c r="L25" s="131" t="str">
        <f>IFERROR(L24/L17,"")</f>
        <v/>
      </c>
      <c r="M25" s="126"/>
      <c r="N25" s="131" t="str">
        <f>IFERROR(N24/N17,"")</f>
        <v/>
      </c>
      <c r="O25" s="126"/>
      <c r="P25" s="131" t="str">
        <f>IFERROR(P24/P17,"")</f>
        <v/>
      </c>
      <c r="Q25" s="126"/>
      <c r="R25" s="131" t="str">
        <f>IFERROR(R24/R17,"")</f>
        <v/>
      </c>
      <c r="S25" s="126"/>
      <c r="T25" s="131" t="str">
        <f>IFERROR(T24/T17,"")</f>
        <v/>
      </c>
      <c r="U25" s="126"/>
      <c r="V25" s="131" t="str">
        <f>IFERROR(V24/V17,"")</f>
        <v/>
      </c>
      <c r="W25" s="126"/>
      <c r="X25" s="131" t="str">
        <f>IFERROR(X24/X17,"")</f>
        <v/>
      </c>
      <c r="Y25" s="126"/>
      <c r="Z25" s="131" t="str">
        <f>IFERROR(Z24/Z17,"")</f>
        <v/>
      </c>
      <c r="AA25" s="126"/>
      <c r="AB25" s="131" t="str">
        <f>IFERROR(AB24/AB17,"")</f>
        <v/>
      </c>
      <c r="AC25" s="126"/>
      <c r="AD25" s="131" t="str">
        <f>IFERROR(AD24/AD17,"")</f>
        <v/>
      </c>
      <c r="AE25" s="126"/>
      <c r="AF25" s="131" t="str">
        <f>IFERROR(AF24/AF17,"")</f>
        <v/>
      </c>
      <c r="AG25" s="126"/>
      <c r="AH25" s="132" t="str">
        <f>IFERROR(AH24/AH17,"")</f>
        <v/>
      </c>
      <c r="AI25" s="118"/>
    </row>
    <row r="26" spans="1:35" s="6" customFormat="1" ht="15" customHeight="1">
      <c r="A26" s="123"/>
      <c r="B26" s="123"/>
      <c r="C26" s="123"/>
      <c r="D26" s="120"/>
      <c r="E26" s="124"/>
      <c r="F26" s="120"/>
      <c r="G26" s="124"/>
      <c r="H26" s="120"/>
      <c r="I26" s="124"/>
      <c r="J26" s="120"/>
      <c r="K26" s="124"/>
      <c r="L26" s="120"/>
      <c r="M26" s="124"/>
      <c r="N26" s="120"/>
      <c r="O26" s="120"/>
      <c r="P26" s="120"/>
      <c r="Q26" s="120"/>
      <c r="R26" s="120"/>
      <c r="S26" s="120"/>
      <c r="T26" s="120"/>
      <c r="U26" s="120"/>
      <c r="V26" s="120"/>
      <c r="W26" s="120"/>
      <c r="X26" s="120"/>
      <c r="Y26" s="124"/>
      <c r="Z26" s="120"/>
      <c r="AA26" s="120"/>
      <c r="AB26" s="120"/>
      <c r="AC26" s="120"/>
      <c r="AD26" s="120"/>
      <c r="AE26" s="120"/>
      <c r="AF26" s="120"/>
      <c r="AG26" s="120"/>
      <c r="AH26" s="121"/>
      <c r="AI26" s="125"/>
    </row>
    <row r="27" spans="1:35" ht="24.95" customHeight="1">
      <c r="A27" s="122" t="s">
        <v>221</v>
      </c>
      <c r="B27"/>
      <c r="C27"/>
      <c r="D27" s="25"/>
      <c r="E27" s="17"/>
      <c r="F27" s="25"/>
      <c r="G27" s="17"/>
      <c r="H27" s="25"/>
      <c r="I27" s="17"/>
      <c r="J27" s="25"/>
      <c r="K27" s="17"/>
      <c r="L27" s="25"/>
      <c r="M27" s="17"/>
      <c r="N27" s="25"/>
      <c r="O27" s="25"/>
      <c r="P27" s="25"/>
      <c r="Q27" s="25"/>
      <c r="R27" s="25"/>
      <c r="S27" s="25"/>
      <c r="T27" s="25"/>
      <c r="U27" s="25"/>
      <c r="V27" s="25"/>
      <c r="W27" s="25"/>
      <c r="X27" s="25"/>
      <c r="Y27" s="17"/>
      <c r="Z27" s="25"/>
      <c r="AA27" s="25"/>
      <c r="AB27" s="25"/>
      <c r="AC27" s="25"/>
      <c r="AD27" s="25"/>
      <c r="AE27" s="25"/>
      <c r="AF27" s="25"/>
      <c r="AG27" s="25"/>
      <c r="AH27" s="66"/>
    </row>
    <row r="28" spans="1:35" ht="24.95" customHeight="1">
      <c r="A28" s="483" t="str">
        <f>Financing!A8</f>
        <v>Conventional Loan</v>
      </c>
      <c r="B28" s="483"/>
      <c r="C28" s="484"/>
      <c r="D28" s="408" t="str">
        <f>IFERROR(Financing!R8,0)</f>
        <v/>
      </c>
      <c r="E28" s="12"/>
      <c r="F28" s="408"/>
      <c r="G28" s="12"/>
      <c r="H28" s="408"/>
      <c r="I28" s="12"/>
      <c r="J28" s="408"/>
      <c r="K28" s="12"/>
      <c r="L28" s="408"/>
      <c r="M28" s="12"/>
      <c r="N28" s="408"/>
      <c r="O28" s="27"/>
      <c r="P28" s="408"/>
      <c r="Q28" s="27"/>
      <c r="R28" s="408"/>
      <c r="S28" s="27"/>
      <c r="T28" s="408"/>
      <c r="U28" s="27"/>
      <c r="V28" s="408"/>
      <c r="W28" s="27"/>
      <c r="X28" s="408"/>
      <c r="Y28" s="27"/>
      <c r="Z28" s="408"/>
      <c r="AA28" s="27"/>
      <c r="AB28" s="408"/>
      <c r="AC28" s="27"/>
      <c r="AD28" s="408"/>
      <c r="AE28" s="27"/>
      <c r="AF28" s="408"/>
      <c r="AG28" s="27"/>
      <c r="AH28" s="67" t="str">
        <f>IF($D$28=0,"",$D$28)</f>
        <v/>
      </c>
    </row>
    <row r="29" spans="1:35" ht="24.95" customHeight="1">
      <c r="A29" s="357" t="str">
        <f>Financing!A9</f>
        <v>Interest-Only Loan</v>
      </c>
      <c r="B29" s="357"/>
      <c r="C29" s="358"/>
      <c r="D29" s="408"/>
      <c r="E29" s="12"/>
      <c r="F29" s="408"/>
      <c r="G29" s="12"/>
      <c r="H29" s="408"/>
      <c r="I29" s="12"/>
      <c r="J29" s="408"/>
      <c r="K29" s="12"/>
      <c r="L29" s="408"/>
      <c r="M29" s="12"/>
      <c r="N29" s="408"/>
      <c r="O29" s="27"/>
      <c r="P29" s="408"/>
      <c r="Q29" s="27"/>
      <c r="R29" s="408"/>
      <c r="S29" s="27"/>
      <c r="T29" s="408"/>
      <c r="U29" s="27"/>
      <c r="V29" s="408"/>
      <c r="W29" s="27"/>
      <c r="X29" s="408"/>
      <c r="Y29" s="27"/>
      <c r="Z29" s="408"/>
      <c r="AA29" s="27"/>
      <c r="AB29" s="408"/>
      <c r="AC29" s="27"/>
      <c r="AD29" s="408"/>
      <c r="AE29" s="27"/>
      <c r="AF29" s="408"/>
      <c r="AG29" s="27"/>
      <c r="AH29" s="67"/>
    </row>
    <row r="30" spans="1:35" ht="24.95" customHeight="1">
      <c r="A30" s="357" t="str">
        <f>Financing!A10</f>
        <v>Deferred Loan</v>
      </c>
      <c r="B30" s="357"/>
      <c r="C30" s="358"/>
      <c r="D30" s="408"/>
      <c r="E30" s="12"/>
      <c r="F30" s="408"/>
      <c r="G30" s="12"/>
      <c r="H30" s="408"/>
      <c r="I30" s="12"/>
      <c r="J30" s="408"/>
      <c r="K30" s="12"/>
      <c r="L30" s="408"/>
      <c r="M30" s="12"/>
      <c r="N30" s="408"/>
      <c r="O30" s="27"/>
      <c r="P30" s="408"/>
      <c r="Q30" s="27"/>
      <c r="R30" s="408"/>
      <c r="S30" s="27"/>
      <c r="T30" s="408"/>
      <c r="U30" s="27"/>
      <c r="V30" s="408"/>
      <c r="W30" s="27"/>
      <c r="X30" s="408"/>
      <c r="Y30" s="27"/>
      <c r="Z30" s="408"/>
      <c r="AA30" s="27"/>
      <c r="AB30" s="408"/>
      <c r="AC30" s="27"/>
      <c r="AD30" s="408"/>
      <c r="AE30" s="27"/>
      <c r="AF30" s="408"/>
      <c r="AG30" s="27"/>
      <c r="AH30" s="67"/>
    </row>
    <row r="31" spans="1:35" ht="24.95" customHeight="1" thickBot="1">
      <c r="A31" s="485" t="str">
        <f>Financing!A11</f>
        <v>Deferred Developer Fee</v>
      </c>
      <c r="B31" s="485"/>
      <c r="C31" s="486"/>
      <c r="D31" s="406"/>
      <c r="E31" s="12"/>
      <c r="F31" s="406"/>
      <c r="G31" s="12"/>
      <c r="H31" s="406"/>
      <c r="I31" s="12"/>
      <c r="J31" s="406"/>
      <c r="K31" s="12"/>
      <c r="L31" s="406"/>
      <c r="M31" s="12"/>
      <c r="N31" s="406"/>
      <c r="O31" s="27"/>
      <c r="P31" s="406"/>
      <c r="Q31" s="27"/>
      <c r="R31" s="406"/>
      <c r="S31" s="27"/>
      <c r="T31" s="406"/>
      <c r="U31" s="27"/>
      <c r="V31" s="406"/>
      <c r="W31" s="27"/>
      <c r="X31" s="406"/>
      <c r="Y31" s="12"/>
      <c r="Z31" s="406"/>
      <c r="AA31" s="27"/>
      <c r="AB31" s="406"/>
      <c r="AC31" s="27"/>
      <c r="AD31" s="406"/>
      <c r="AE31" s="27"/>
      <c r="AF31" s="406"/>
      <c r="AG31" s="27"/>
      <c r="AH31" s="67">
        <f>$D$31</f>
        <v>0</v>
      </c>
    </row>
    <row r="32" spans="1:35" ht="24.95" customHeight="1">
      <c r="A32" s="492" t="s">
        <v>222</v>
      </c>
      <c r="B32" s="492"/>
      <c r="C32" s="492"/>
      <c r="D32" s="181">
        <f>SUM(D28:D31)</f>
        <v>0</v>
      </c>
      <c r="E32" s="18"/>
      <c r="F32" s="181">
        <f>SUM(F28:F31)</f>
        <v>0</v>
      </c>
      <c r="G32" s="18"/>
      <c r="H32" s="181">
        <f>SUM(H28:H31)</f>
        <v>0</v>
      </c>
      <c r="I32" s="18"/>
      <c r="J32" s="181">
        <f>SUM(J28:J31)</f>
        <v>0</v>
      </c>
      <c r="K32" s="18"/>
      <c r="L32" s="181">
        <f>SUM(L28:L31)</f>
        <v>0</v>
      </c>
      <c r="M32" s="18"/>
      <c r="N32" s="181">
        <f>SUM(N28:N31)</f>
        <v>0</v>
      </c>
      <c r="O32" s="30"/>
      <c r="P32" s="181">
        <f>SUM(P28:P31)</f>
        <v>0</v>
      </c>
      <c r="Q32" s="30"/>
      <c r="R32" s="181">
        <f>SUM(R28:R31)</f>
        <v>0</v>
      </c>
      <c r="S32" s="30"/>
      <c r="T32" s="181">
        <f>SUM(T28:T31)</f>
        <v>0</v>
      </c>
      <c r="U32" s="30"/>
      <c r="V32" s="181">
        <f>SUM(V28:V31)</f>
        <v>0</v>
      </c>
      <c r="W32" s="30"/>
      <c r="X32" s="181">
        <f>SUM(X28:X31)</f>
        <v>0</v>
      </c>
      <c r="Y32" s="18"/>
      <c r="Z32" s="181">
        <f>SUM(Z28:Z31)</f>
        <v>0</v>
      </c>
      <c r="AA32" s="30"/>
      <c r="AB32" s="181">
        <f>SUM(AB28:AB31)</f>
        <v>0</v>
      </c>
      <c r="AC32" s="30"/>
      <c r="AD32" s="181">
        <f>SUM(AD28:AD31)</f>
        <v>0</v>
      </c>
      <c r="AE32" s="30"/>
      <c r="AF32" s="181">
        <f>SUM(AF28:AF31)</f>
        <v>0</v>
      </c>
      <c r="AG32" s="30"/>
      <c r="AH32" s="182">
        <f>D32</f>
        <v>0</v>
      </c>
    </row>
    <row r="33" spans="1:34" ht="24.95" customHeight="1" thickBot="1">
      <c r="A33" s="489" t="s">
        <v>223</v>
      </c>
      <c r="B33" s="489"/>
      <c r="C33" s="489"/>
      <c r="D33" s="189" t="str">
        <f>IFERROR(D24/D32,"")</f>
        <v/>
      </c>
      <c r="E33" s="18"/>
      <c r="F33" s="189" t="str">
        <f>IFERROR(F24/F32,"")</f>
        <v/>
      </c>
      <c r="G33" s="190"/>
      <c r="H33" s="189" t="str">
        <f>IFERROR(H24/H32,"")</f>
        <v/>
      </c>
      <c r="I33" s="190"/>
      <c r="J33" s="189" t="str">
        <f>IFERROR(J24/J32,"")</f>
        <v/>
      </c>
      <c r="K33" s="190"/>
      <c r="L33" s="189" t="str">
        <f>IFERROR(L24/L32,"")</f>
        <v/>
      </c>
      <c r="M33" s="190"/>
      <c r="N33" s="189" t="str">
        <f>IFERROR(N24/N32,"")</f>
        <v/>
      </c>
      <c r="O33" s="190"/>
      <c r="P33" s="189" t="str">
        <f>IFERROR(P24/P32,"")</f>
        <v/>
      </c>
      <c r="Q33" s="190"/>
      <c r="R33" s="189" t="str">
        <f>IFERROR(R24/R32,"")</f>
        <v/>
      </c>
      <c r="S33" s="190"/>
      <c r="T33" s="189" t="str">
        <f>IFERROR(T24/T32,"")</f>
        <v/>
      </c>
      <c r="U33" s="190"/>
      <c r="V33" s="189" t="str">
        <f>IFERROR(V24/V32,"")</f>
        <v/>
      </c>
      <c r="W33" s="190"/>
      <c r="X33" s="189" t="str">
        <f>IFERROR(X24/X32,"")</f>
        <v/>
      </c>
      <c r="Y33" s="190"/>
      <c r="Z33" s="189" t="str">
        <f>IFERROR(Z24/Z32,"")</f>
        <v/>
      </c>
      <c r="AA33" s="190"/>
      <c r="AB33" s="189" t="str">
        <f>IFERROR(AB24/AB32,"")</f>
        <v/>
      </c>
      <c r="AC33" s="190"/>
      <c r="AD33" s="189" t="str">
        <f>IFERROR(AD24/AD32,"")</f>
        <v/>
      </c>
      <c r="AE33" s="190"/>
      <c r="AF33" s="189" t="str">
        <f>IFERROR(AF24/AF32,"")</f>
        <v/>
      </c>
      <c r="AG33" s="190"/>
      <c r="AH33" s="191" t="str">
        <f>IFERROR(AH24/AH32,"")</f>
        <v/>
      </c>
    </row>
    <row r="34" spans="1:34" customFormat="1" ht="15" customHeight="1"/>
  </sheetData>
  <sheetProtection algorithmName="SHA-512" hashValue="PML/vc90PIE4WuAw0irENvePAaKsQUbI4hNrTBrUSZQpONPRCCxcH6lOiVOqhYuLQJApevyhEZLtH2vbZMOVzQ==" saltValue="j5Jd9TeEKo8fUDj53c1v+Q==" spinCount="100000" sheet="1" objects="1" scenarios="1"/>
  <mergeCells count="19">
    <mergeCell ref="A28:C28"/>
    <mergeCell ref="A31:C31"/>
    <mergeCell ref="A25:C25"/>
    <mergeCell ref="A33:C33"/>
    <mergeCell ref="A23:C23"/>
    <mergeCell ref="A24:C24"/>
    <mergeCell ref="A32:C32"/>
    <mergeCell ref="A22:C22"/>
    <mergeCell ref="B5:C5"/>
    <mergeCell ref="B6:C6"/>
    <mergeCell ref="B7:C7"/>
    <mergeCell ref="A17:C17"/>
    <mergeCell ref="A10:C10"/>
    <mergeCell ref="A11:C11"/>
    <mergeCell ref="A13:C13"/>
    <mergeCell ref="A20:C20"/>
    <mergeCell ref="A21:C21"/>
    <mergeCell ref="A19:C19"/>
    <mergeCell ref="A12:C12"/>
  </mergeCells>
  <conditionalFormatting sqref="D11:D12">
    <cfRule type="containsBlanks" dxfId="0" priority="57">
      <formula>LEN(TRIM(D11))=0</formula>
    </cfRule>
  </conditionalFormatting>
  <pageMargins left="0.25" right="0.25"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8184-7112-4DB9-92B6-7F23F9F9926C}">
  <sheetPr codeName="Sheet8">
    <tabColor theme="0"/>
  </sheetPr>
  <dimension ref="A1:W102"/>
  <sheetViews>
    <sheetView showGridLines="0" zoomScaleNormal="100" workbookViewId="0">
      <selection activeCell="AB19" sqref="AB19"/>
    </sheetView>
  </sheetViews>
  <sheetFormatPr defaultColWidth="9.140625" defaultRowHeight="15"/>
  <cols>
    <col min="1" max="1" width="20.7109375" style="3" customWidth="1"/>
    <col min="2" max="4" width="11.7109375" style="3" customWidth="1"/>
    <col min="5" max="5" width="3.7109375" style="269" hidden="1" customWidth="1"/>
    <col min="6" max="6" width="16.7109375" style="268" hidden="1" customWidth="1"/>
    <col min="7" max="7" width="5.42578125" style="335" hidden="1" customWidth="1"/>
    <col min="8" max="8" width="9.28515625" style="268" hidden="1" customWidth="1"/>
    <col min="9" max="14" width="10.28515625" style="268" hidden="1" customWidth="1"/>
    <col min="15" max="15" width="5.140625" style="339" hidden="1" customWidth="1"/>
    <col min="16" max="16" width="8.85546875" style="268" hidden="1" customWidth="1"/>
    <col min="17" max="17" width="9.85546875" style="269" hidden="1" customWidth="1"/>
    <col min="18" max="22" width="9.85546875" style="270" hidden="1" customWidth="1"/>
    <col min="23" max="23" width="3.7109375" style="269" hidden="1" customWidth="1"/>
    <col min="24" max="16384" width="9.140625" style="3"/>
  </cols>
  <sheetData>
    <row r="1" spans="1:23" ht="26.25">
      <c r="A1" s="172" t="s">
        <v>224</v>
      </c>
      <c r="C1" s="173"/>
      <c r="D1" s="173"/>
      <c r="E1" s="329"/>
      <c r="F1" s="330" t="s">
        <v>225</v>
      </c>
      <c r="H1" s="330" t="s">
        <v>226</v>
      </c>
      <c r="I1" s="330" t="s">
        <v>227</v>
      </c>
      <c r="J1" s="330" t="s">
        <v>228</v>
      </c>
      <c r="K1" s="330" t="s">
        <v>229</v>
      </c>
      <c r="L1" s="330" t="s">
        <v>230</v>
      </c>
      <c r="M1" s="330" t="s">
        <v>231</v>
      </c>
      <c r="N1" s="330" t="s">
        <v>232</v>
      </c>
      <c r="O1" s="337"/>
      <c r="P1" s="330" t="s">
        <v>233</v>
      </c>
      <c r="Q1" s="329" t="s">
        <v>234</v>
      </c>
      <c r="R1" s="330" t="s">
        <v>235</v>
      </c>
      <c r="S1" s="330" t="s">
        <v>236</v>
      </c>
      <c r="T1" s="330" t="s">
        <v>237</v>
      </c>
      <c r="U1" s="330" t="s">
        <v>238</v>
      </c>
      <c r="V1" s="330" t="s">
        <v>239</v>
      </c>
      <c r="W1" s="329"/>
    </row>
    <row r="2" spans="1:23" ht="15.75" thickBot="1">
      <c r="A2" s="174"/>
      <c r="B2" s="174"/>
      <c r="C2" s="174"/>
      <c r="D2" s="174"/>
      <c r="E2" s="331"/>
      <c r="F2" s="268" t="s">
        <v>240</v>
      </c>
      <c r="G2" s="336" t="s">
        <v>241</v>
      </c>
      <c r="H2" s="334">
        <v>621</v>
      </c>
      <c r="I2" s="334">
        <v>660</v>
      </c>
      <c r="J2" s="334">
        <v>833</v>
      </c>
      <c r="K2" s="334">
        <v>1111</v>
      </c>
      <c r="L2" s="334">
        <v>1263</v>
      </c>
      <c r="M2" s="334">
        <v>1452</v>
      </c>
      <c r="N2" s="334">
        <v>1642</v>
      </c>
      <c r="O2" s="338" t="s">
        <v>242</v>
      </c>
      <c r="P2" s="334">
        <v>621</v>
      </c>
      <c r="Q2" s="334">
        <v>660</v>
      </c>
      <c r="R2" s="334">
        <v>833</v>
      </c>
      <c r="S2" s="334">
        <v>1108</v>
      </c>
      <c r="T2" s="334">
        <v>1236</v>
      </c>
      <c r="U2" s="334">
        <v>1363</v>
      </c>
      <c r="V2" s="334">
        <v>1491</v>
      </c>
      <c r="W2" s="331"/>
    </row>
    <row r="3" spans="1:23" ht="15.75" thickBot="1">
      <c r="A3" s="175" t="s">
        <v>243</v>
      </c>
      <c r="B3" s="493"/>
      <c r="C3" s="494"/>
      <c r="D3" s="495"/>
      <c r="E3" s="331"/>
      <c r="F3" s="268" t="s">
        <v>244</v>
      </c>
      <c r="G3" s="336" t="s">
        <v>241</v>
      </c>
      <c r="H3" s="334">
        <v>562</v>
      </c>
      <c r="I3" s="334">
        <v>628</v>
      </c>
      <c r="J3" s="334">
        <v>826</v>
      </c>
      <c r="K3" s="334">
        <v>1042</v>
      </c>
      <c r="L3" s="334">
        <v>1206</v>
      </c>
      <c r="M3" s="334">
        <v>1387</v>
      </c>
      <c r="N3" s="334">
        <v>1568</v>
      </c>
      <c r="O3" s="338" t="s">
        <v>242</v>
      </c>
      <c r="P3" s="334">
        <v>562</v>
      </c>
      <c r="Q3" s="334">
        <v>628</v>
      </c>
      <c r="R3" s="334">
        <v>826</v>
      </c>
      <c r="S3" s="334">
        <v>1042</v>
      </c>
      <c r="T3" s="334">
        <v>1206</v>
      </c>
      <c r="U3" s="334">
        <v>1331</v>
      </c>
      <c r="V3" s="334">
        <v>1456</v>
      </c>
      <c r="W3" s="331"/>
    </row>
    <row r="4" spans="1:23" ht="15.75" thickBot="1">
      <c r="A4" s="177"/>
      <c r="B4" s="177"/>
      <c r="C4" s="177"/>
      <c r="D4" s="177"/>
      <c r="E4" s="332"/>
      <c r="F4" s="268" t="s">
        <v>245</v>
      </c>
      <c r="G4" s="411" t="s">
        <v>241</v>
      </c>
      <c r="H4" s="412">
        <v>570</v>
      </c>
      <c r="I4" s="412">
        <v>637</v>
      </c>
      <c r="J4" s="412">
        <v>838</v>
      </c>
      <c r="K4" s="412">
        <v>1075</v>
      </c>
      <c r="L4" s="412">
        <v>1138</v>
      </c>
      <c r="M4" s="412">
        <v>1309</v>
      </c>
      <c r="N4" s="412">
        <v>1479</v>
      </c>
      <c r="O4" s="413" t="s">
        <v>242</v>
      </c>
      <c r="P4" s="412">
        <v>570</v>
      </c>
      <c r="Q4" s="412">
        <v>637</v>
      </c>
      <c r="R4" s="412">
        <v>838</v>
      </c>
      <c r="S4" s="412">
        <v>1075</v>
      </c>
      <c r="T4" s="412">
        <v>1138</v>
      </c>
      <c r="U4" s="412">
        <v>1309</v>
      </c>
      <c r="V4" s="412">
        <v>1456</v>
      </c>
      <c r="W4" s="332"/>
    </row>
    <row r="5" spans="1:23" ht="15" customHeight="1">
      <c r="A5" s="496" t="s">
        <v>5</v>
      </c>
      <c r="B5" s="342" t="s">
        <v>246</v>
      </c>
      <c r="C5" s="328" t="s">
        <v>247</v>
      </c>
      <c r="E5" s="332"/>
      <c r="F5" s="268" t="s">
        <v>248</v>
      </c>
      <c r="G5" s="411" t="s">
        <v>241</v>
      </c>
      <c r="H5" s="412">
        <v>570</v>
      </c>
      <c r="I5" s="412">
        <v>637</v>
      </c>
      <c r="J5" s="412">
        <v>838</v>
      </c>
      <c r="K5" s="412">
        <v>1075</v>
      </c>
      <c r="L5" s="412">
        <v>1138</v>
      </c>
      <c r="M5" s="412">
        <v>1309</v>
      </c>
      <c r="N5" s="412">
        <v>1479</v>
      </c>
      <c r="O5" s="413" t="s">
        <v>242</v>
      </c>
      <c r="P5" s="412">
        <v>570</v>
      </c>
      <c r="Q5" s="412">
        <v>637</v>
      </c>
      <c r="R5" s="412">
        <v>838</v>
      </c>
      <c r="S5" s="412">
        <v>1075</v>
      </c>
      <c r="T5" s="412">
        <v>1138</v>
      </c>
      <c r="U5" s="412">
        <v>1309</v>
      </c>
      <c r="V5" s="412">
        <v>1456</v>
      </c>
      <c r="W5" s="332"/>
    </row>
    <row r="6" spans="1:23">
      <c r="A6" s="497"/>
      <c r="B6" s="345" t="s">
        <v>249</v>
      </c>
      <c r="C6" s="346" t="s">
        <v>250</v>
      </c>
      <c r="F6" s="268" t="s">
        <v>251</v>
      </c>
      <c r="G6" s="411" t="s">
        <v>241</v>
      </c>
      <c r="H6" s="412">
        <v>570</v>
      </c>
      <c r="I6" s="412">
        <v>637</v>
      </c>
      <c r="J6" s="412">
        <v>838</v>
      </c>
      <c r="K6" s="412">
        <v>1075</v>
      </c>
      <c r="L6" s="412">
        <v>1138</v>
      </c>
      <c r="M6" s="412">
        <v>1309</v>
      </c>
      <c r="N6" s="412">
        <v>1479</v>
      </c>
      <c r="O6" s="413" t="s">
        <v>242</v>
      </c>
      <c r="P6" s="412">
        <v>570</v>
      </c>
      <c r="Q6" s="412">
        <v>637</v>
      </c>
      <c r="R6" s="412">
        <v>838</v>
      </c>
      <c r="S6" s="412">
        <v>1075</v>
      </c>
      <c r="T6" s="412">
        <v>1138</v>
      </c>
      <c r="U6" s="412">
        <v>1309</v>
      </c>
      <c r="V6" s="412">
        <v>1456</v>
      </c>
    </row>
    <row r="7" spans="1:23" ht="15" customHeight="1">
      <c r="A7" s="178" t="s">
        <v>252</v>
      </c>
      <c r="B7" s="343" t="e">
        <f>VLOOKUP($B$3,$F$1:$V$102,3,FALSE)</f>
        <v>#N/A</v>
      </c>
      <c r="C7" s="340" t="e">
        <f>VLOOKUP($B$3,$F$1:$V$102,11,FALSE)</f>
        <v>#N/A</v>
      </c>
      <c r="F7" s="268" t="s">
        <v>253</v>
      </c>
      <c r="G7" s="411" t="s">
        <v>241</v>
      </c>
      <c r="H7" s="412">
        <v>562</v>
      </c>
      <c r="I7" s="412">
        <v>628</v>
      </c>
      <c r="J7" s="412">
        <v>826</v>
      </c>
      <c r="K7" s="412">
        <v>1090</v>
      </c>
      <c r="L7" s="412">
        <v>1407</v>
      </c>
      <c r="M7" s="412">
        <v>1618</v>
      </c>
      <c r="N7" s="412">
        <v>1824</v>
      </c>
      <c r="O7" s="413" t="s">
        <v>242</v>
      </c>
      <c r="P7" s="412">
        <v>562</v>
      </c>
      <c r="Q7" s="412">
        <v>628</v>
      </c>
      <c r="R7" s="412">
        <v>826</v>
      </c>
      <c r="S7" s="412">
        <v>1090</v>
      </c>
      <c r="T7" s="412">
        <v>1231</v>
      </c>
      <c r="U7" s="412">
        <v>1358</v>
      </c>
      <c r="V7" s="412">
        <v>1485</v>
      </c>
    </row>
    <row r="8" spans="1:23">
      <c r="A8" s="179">
        <v>1</v>
      </c>
      <c r="B8" s="343" t="e">
        <f>VLOOKUP($B$3,$F$1:$V$102,4,FALSE)</f>
        <v>#N/A</v>
      </c>
      <c r="C8" s="340" t="e">
        <f>VLOOKUP($B$3,$F$1:$V$102,12,FALSE)</f>
        <v>#N/A</v>
      </c>
      <c r="F8" s="268" t="s">
        <v>254</v>
      </c>
      <c r="G8" s="411" t="s">
        <v>241</v>
      </c>
      <c r="H8" s="412">
        <v>590</v>
      </c>
      <c r="I8" s="412">
        <v>659</v>
      </c>
      <c r="J8" s="412">
        <v>867</v>
      </c>
      <c r="K8" s="412">
        <v>1055</v>
      </c>
      <c r="L8" s="412">
        <v>1165</v>
      </c>
      <c r="M8" s="412">
        <v>1340</v>
      </c>
      <c r="N8" s="412">
        <v>1515</v>
      </c>
      <c r="O8" s="413" t="s">
        <v>242</v>
      </c>
      <c r="P8" s="412">
        <v>590</v>
      </c>
      <c r="Q8" s="412">
        <v>659</v>
      </c>
      <c r="R8" s="412">
        <v>867</v>
      </c>
      <c r="S8" s="412">
        <v>1055</v>
      </c>
      <c r="T8" s="412">
        <v>1165</v>
      </c>
      <c r="U8" s="412">
        <v>1340</v>
      </c>
      <c r="V8" s="412">
        <v>1498</v>
      </c>
    </row>
    <row r="9" spans="1:23">
      <c r="A9" s="179">
        <v>2</v>
      </c>
      <c r="B9" s="343" t="e">
        <f>VLOOKUP($B$3,$F$1:$V$102,5,FALSE)</f>
        <v>#N/A</v>
      </c>
      <c r="C9" s="340" t="e">
        <f>VLOOKUP($B$3,$F$1:$V$102,13,FALSE)</f>
        <v>#N/A</v>
      </c>
      <c r="F9" s="268" t="s">
        <v>255</v>
      </c>
      <c r="G9" s="411" t="s">
        <v>241</v>
      </c>
      <c r="H9" s="412">
        <v>562</v>
      </c>
      <c r="I9" s="412">
        <v>695</v>
      </c>
      <c r="J9" s="412">
        <v>826</v>
      </c>
      <c r="K9" s="412">
        <v>1059</v>
      </c>
      <c r="L9" s="412">
        <v>1122</v>
      </c>
      <c r="M9" s="412">
        <v>1290</v>
      </c>
      <c r="N9" s="412">
        <v>1459</v>
      </c>
      <c r="O9" s="413" t="s">
        <v>242</v>
      </c>
      <c r="P9" s="412">
        <v>562</v>
      </c>
      <c r="Q9" s="412">
        <v>695</v>
      </c>
      <c r="R9" s="412">
        <v>826</v>
      </c>
      <c r="S9" s="412">
        <v>1059</v>
      </c>
      <c r="T9" s="412">
        <v>1122</v>
      </c>
      <c r="U9" s="412">
        <v>1290</v>
      </c>
      <c r="V9" s="412">
        <v>1459</v>
      </c>
    </row>
    <row r="10" spans="1:23">
      <c r="A10" s="179">
        <v>3</v>
      </c>
      <c r="B10" s="343" t="e">
        <f>VLOOKUP($B$3,$F$1:$V$102,6,FALSE)</f>
        <v>#N/A</v>
      </c>
      <c r="C10" s="340" t="e">
        <f>VLOOKUP($B$3,$F$1:$V$102,14,FALSE)</f>
        <v>#N/A</v>
      </c>
      <c r="F10" s="268" t="s">
        <v>256</v>
      </c>
      <c r="G10" s="411" t="s">
        <v>241</v>
      </c>
      <c r="H10" s="412">
        <v>562</v>
      </c>
      <c r="I10" s="412">
        <v>628</v>
      </c>
      <c r="J10" s="412">
        <v>826</v>
      </c>
      <c r="K10" s="412">
        <v>1005</v>
      </c>
      <c r="L10" s="412">
        <v>1221</v>
      </c>
      <c r="M10" s="412">
        <v>1404</v>
      </c>
      <c r="N10" s="412">
        <v>1587</v>
      </c>
      <c r="O10" s="413" t="s">
        <v>242</v>
      </c>
      <c r="P10" s="412">
        <v>562</v>
      </c>
      <c r="Q10" s="412">
        <v>628</v>
      </c>
      <c r="R10" s="412">
        <v>826</v>
      </c>
      <c r="S10" s="412">
        <v>1005</v>
      </c>
      <c r="T10" s="412">
        <v>1207</v>
      </c>
      <c r="U10" s="412">
        <v>1331</v>
      </c>
      <c r="V10" s="412">
        <v>1456</v>
      </c>
    </row>
    <row r="11" spans="1:23">
      <c r="A11" s="179">
        <v>4</v>
      </c>
      <c r="B11" s="343" t="e">
        <f>VLOOKUP($B$3,$F$1:$V$102,7,FALSE)</f>
        <v>#N/A</v>
      </c>
      <c r="C11" s="340" t="e">
        <f>VLOOKUP($B$3,$F$1:$V$102,15,FALSE)</f>
        <v>#N/A</v>
      </c>
      <c r="F11" s="268" t="s">
        <v>257</v>
      </c>
      <c r="G11" s="411" t="s">
        <v>241</v>
      </c>
      <c r="H11" s="412">
        <v>640</v>
      </c>
      <c r="I11" s="412">
        <v>712</v>
      </c>
      <c r="J11" s="412">
        <v>929</v>
      </c>
      <c r="K11" s="412">
        <v>1260</v>
      </c>
      <c r="L11" s="412">
        <v>1582</v>
      </c>
      <c r="M11" s="412">
        <v>1819</v>
      </c>
      <c r="N11" s="412">
        <v>2031</v>
      </c>
      <c r="O11" s="413" t="s">
        <v>242</v>
      </c>
      <c r="P11" s="412">
        <v>640</v>
      </c>
      <c r="Q11" s="412">
        <v>712</v>
      </c>
      <c r="R11" s="412">
        <v>929</v>
      </c>
      <c r="S11" s="412">
        <v>1221</v>
      </c>
      <c r="T11" s="412">
        <v>1362</v>
      </c>
      <c r="U11" s="412">
        <v>1503</v>
      </c>
      <c r="V11" s="412">
        <v>1643</v>
      </c>
    </row>
    <row r="12" spans="1:23">
      <c r="A12" s="179">
        <v>5</v>
      </c>
      <c r="B12" s="343" t="e">
        <f>VLOOKUP($B$3,$F$1:$V$102,8,FALSE)</f>
        <v>#N/A</v>
      </c>
      <c r="C12" s="340" t="e">
        <f>VLOOKUP($B$3,$F$1:$V$102,16,FALSE)</f>
        <v>#N/A</v>
      </c>
      <c r="F12" s="268" t="s">
        <v>258</v>
      </c>
      <c r="G12" s="411" t="s">
        <v>241</v>
      </c>
      <c r="H12" s="412">
        <v>562</v>
      </c>
      <c r="I12" s="412">
        <v>628</v>
      </c>
      <c r="J12" s="412">
        <v>826</v>
      </c>
      <c r="K12" s="412">
        <v>1005</v>
      </c>
      <c r="L12" s="412">
        <v>1110</v>
      </c>
      <c r="M12" s="412">
        <v>1277</v>
      </c>
      <c r="N12" s="412">
        <v>1443</v>
      </c>
      <c r="O12" s="413" t="s">
        <v>242</v>
      </c>
      <c r="P12" s="412">
        <v>562</v>
      </c>
      <c r="Q12" s="412">
        <v>628</v>
      </c>
      <c r="R12" s="412">
        <v>826</v>
      </c>
      <c r="S12" s="412">
        <v>1005</v>
      </c>
      <c r="T12" s="412">
        <v>1110</v>
      </c>
      <c r="U12" s="412">
        <v>1277</v>
      </c>
      <c r="V12" s="412">
        <v>1443</v>
      </c>
    </row>
    <row r="13" spans="1:23" ht="15.75" thickBot="1">
      <c r="A13" s="180">
        <v>6</v>
      </c>
      <c r="B13" s="344" t="e">
        <f>VLOOKUP($B$3,$F$1:$V$102,9,FALSE)</f>
        <v>#N/A</v>
      </c>
      <c r="C13" s="341" t="e">
        <f>VLOOKUP($B$3,$F$1:$V$102,17,FALSE)</f>
        <v>#N/A</v>
      </c>
      <c r="F13" s="268" t="s">
        <v>259</v>
      </c>
      <c r="G13" s="411" t="s">
        <v>241</v>
      </c>
      <c r="H13" s="412">
        <v>577</v>
      </c>
      <c r="I13" s="412">
        <v>694</v>
      </c>
      <c r="J13" s="412">
        <v>849</v>
      </c>
      <c r="K13" s="412">
        <v>1033</v>
      </c>
      <c r="L13" s="412">
        <v>1141</v>
      </c>
      <c r="M13" s="412">
        <v>1312</v>
      </c>
      <c r="N13" s="412">
        <v>1483</v>
      </c>
      <c r="O13" s="413" t="s">
        <v>242</v>
      </c>
      <c r="P13" s="412">
        <v>577</v>
      </c>
      <c r="Q13" s="412">
        <v>694</v>
      </c>
      <c r="R13" s="412">
        <v>849</v>
      </c>
      <c r="S13" s="412">
        <v>1033</v>
      </c>
      <c r="T13" s="412">
        <v>1141</v>
      </c>
      <c r="U13" s="412">
        <v>1312</v>
      </c>
      <c r="V13" s="412">
        <v>1473</v>
      </c>
    </row>
    <row r="14" spans="1:23">
      <c r="F14" s="268" t="s">
        <v>260</v>
      </c>
      <c r="G14" s="411" t="s">
        <v>241</v>
      </c>
      <c r="H14" s="412">
        <v>801</v>
      </c>
      <c r="I14" s="412">
        <v>888</v>
      </c>
      <c r="J14" s="412">
        <v>1083</v>
      </c>
      <c r="K14" s="412">
        <v>1449</v>
      </c>
      <c r="L14" s="412">
        <v>1611</v>
      </c>
      <c r="M14" s="412">
        <v>1853</v>
      </c>
      <c r="N14" s="412">
        <v>2094</v>
      </c>
      <c r="O14" s="413" t="s">
        <v>242</v>
      </c>
      <c r="P14" s="412">
        <v>801</v>
      </c>
      <c r="Q14" s="412">
        <v>888</v>
      </c>
      <c r="R14" s="412">
        <v>1083</v>
      </c>
      <c r="S14" s="412">
        <v>1309</v>
      </c>
      <c r="T14" s="412">
        <v>1461</v>
      </c>
      <c r="U14" s="412">
        <v>1611</v>
      </c>
      <c r="V14" s="412">
        <v>1762</v>
      </c>
    </row>
    <row r="15" spans="1:23">
      <c r="D15" s="176"/>
      <c r="F15" s="268" t="s">
        <v>261</v>
      </c>
      <c r="G15" s="411" t="s">
        <v>241</v>
      </c>
      <c r="H15" s="412">
        <v>562</v>
      </c>
      <c r="I15" s="412">
        <v>628</v>
      </c>
      <c r="J15" s="412">
        <v>826</v>
      </c>
      <c r="K15" s="412">
        <v>1090</v>
      </c>
      <c r="L15" s="412">
        <v>1205</v>
      </c>
      <c r="M15" s="412">
        <v>1386</v>
      </c>
      <c r="N15" s="412">
        <v>1567</v>
      </c>
      <c r="O15" s="413" t="s">
        <v>242</v>
      </c>
      <c r="P15" s="412">
        <v>562</v>
      </c>
      <c r="Q15" s="412">
        <v>628</v>
      </c>
      <c r="R15" s="412">
        <v>826</v>
      </c>
      <c r="S15" s="412">
        <v>1090</v>
      </c>
      <c r="T15" s="412">
        <v>1205</v>
      </c>
      <c r="U15" s="412">
        <v>1386</v>
      </c>
      <c r="V15" s="412">
        <v>1552</v>
      </c>
    </row>
    <row r="16" spans="1:23">
      <c r="A16" s="410" t="s">
        <v>262</v>
      </c>
      <c r="B16" s="176"/>
      <c r="C16" s="176"/>
      <c r="F16" s="268" t="s">
        <v>263</v>
      </c>
      <c r="G16" s="411" t="s">
        <v>241</v>
      </c>
      <c r="H16" s="412">
        <v>562</v>
      </c>
      <c r="I16" s="412">
        <v>731</v>
      </c>
      <c r="J16" s="412">
        <v>826</v>
      </c>
      <c r="K16" s="412">
        <v>1146</v>
      </c>
      <c r="L16" s="412">
        <v>1407</v>
      </c>
      <c r="M16" s="412">
        <v>1618</v>
      </c>
      <c r="N16" s="412">
        <v>1788</v>
      </c>
      <c r="O16" s="413" t="s">
        <v>242</v>
      </c>
      <c r="P16" s="412">
        <v>562</v>
      </c>
      <c r="Q16" s="412">
        <v>731</v>
      </c>
      <c r="R16" s="412">
        <v>826</v>
      </c>
      <c r="S16" s="412">
        <v>1081</v>
      </c>
      <c r="T16" s="412">
        <v>1207</v>
      </c>
      <c r="U16" s="412">
        <v>1331</v>
      </c>
      <c r="V16" s="412">
        <v>1456</v>
      </c>
    </row>
    <row r="17" spans="1:23">
      <c r="A17" s="414" t="s">
        <v>264</v>
      </c>
      <c r="E17" s="415"/>
      <c r="F17" s="268" t="s">
        <v>265</v>
      </c>
      <c r="G17" s="411" t="s">
        <v>241</v>
      </c>
      <c r="H17" s="412">
        <v>562</v>
      </c>
      <c r="I17" s="412">
        <v>628</v>
      </c>
      <c r="J17" s="412">
        <v>826</v>
      </c>
      <c r="K17" s="412">
        <v>1005</v>
      </c>
      <c r="L17" s="412">
        <v>1122</v>
      </c>
      <c r="M17" s="412">
        <v>1290</v>
      </c>
      <c r="N17" s="412">
        <v>1459</v>
      </c>
      <c r="O17" s="413" t="s">
        <v>242</v>
      </c>
      <c r="P17" s="412">
        <v>562</v>
      </c>
      <c r="Q17" s="412">
        <v>628</v>
      </c>
      <c r="R17" s="412">
        <v>826</v>
      </c>
      <c r="S17" s="412">
        <v>1005</v>
      </c>
      <c r="T17" s="412">
        <v>1122</v>
      </c>
      <c r="U17" s="412">
        <v>1290</v>
      </c>
      <c r="V17" s="412">
        <v>1456</v>
      </c>
      <c r="W17" s="415"/>
    </row>
    <row r="18" spans="1:23">
      <c r="E18" s="333"/>
      <c r="F18" s="268" t="s">
        <v>266</v>
      </c>
      <c r="G18" s="411" t="s">
        <v>241</v>
      </c>
      <c r="H18" s="412">
        <v>613</v>
      </c>
      <c r="I18" s="412">
        <v>685</v>
      </c>
      <c r="J18" s="412">
        <v>902</v>
      </c>
      <c r="K18" s="412">
        <v>1238</v>
      </c>
      <c r="L18" s="412">
        <v>1260</v>
      </c>
      <c r="M18" s="412">
        <v>1449</v>
      </c>
      <c r="N18" s="412">
        <v>1638</v>
      </c>
      <c r="O18" s="413" t="s">
        <v>242</v>
      </c>
      <c r="P18" s="412">
        <v>613</v>
      </c>
      <c r="Q18" s="412">
        <v>685</v>
      </c>
      <c r="R18" s="412">
        <v>902</v>
      </c>
      <c r="S18" s="412">
        <v>1133</v>
      </c>
      <c r="T18" s="412">
        <v>1260</v>
      </c>
      <c r="U18" s="412">
        <v>1396</v>
      </c>
      <c r="V18" s="412">
        <v>1526</v>
      </c>
      <c r="W18" s="333"/>
    </row>
    <row r="19" spans="1:23">
      <c r="E19" s="333"/>
      <c r="F19" s="268" t="s">
        <v>267</v>
      </c>
      <c r="G19" s="411" t="s">
        <v>241</v>
      </c>
      <c r="H19" s="412">
        <v>562</v>
      </c>
      <c r="I19" s="412">
        <v>675</v>
      </c>
      <c r="J19" s="412">
        <v>826</v>
      </c>
      <c r="K19" s="412">
        <v>1005</v>
      </c>
      <c r="L19" s="412">
        <v>1208</v>
      </c>
      <c r="M19" s="412">
        <v>1389</v>
      </c>
      <c r="N19" s="412">
        <v>1570</v>
      </c>
      <c r="O19" s="413" t="s">
        <v>242</v>
      </c>
      <c r="P19" s="412">
        <v>562</v>
      </c>
      <c r="Q19" s="412">
        <v>675</v>
      </c>
      <c r="R19" s="412">
        <v>826</v>
      </c>
      <c r="S19" s="412">
        <v>1005</v>
      </c>
      <c r="T19" s="412">
        <v>1208</v>
      </c>
      <c r="U19" s="412">
        <v>1370</v>
      </c>
      <c r="V19" s="412">
        <v>1498</v>
      </c>
      <c r="W19" s="333"/>
    </row>
    <row r="20" spans="1:23">
      <c r="E20" s="333"/>
      <c r="F20" s="268" t="s">
        <v>268</v>
      </c>
      <c r="G20" s="411" t="s">
        <v>241</v>
      </c>
      <c r="H20" s="412">
        <v>582</v>
      </c>
      <c r="I20" s="412">
        <v>650</v>
      </c>
      <c r="J20" s="412">
        <v>855</v>
      </c>
      <c r="K20" s="412">
        <v>1041</v>
      </c>
      <c r="L20" s="412">
        <v>1171</v>
      </c>
      <c r="M20" s="412">
        <v>1347</v>
      </c>
      <c r="N20" s="412">
        <v>1522</v>
      </c>
      <c r="O20" s="413" t="s">
        <v>242</v>
      </c>
      <c r="P20" s="412">
        <v>582</v>
      </c>
      <c r="Q20" s="412">
        <v>650</v>
      </c>
      <c r="R20" s="412">
        <v>855</v>
      </c>
      <c r="S20" s="412">
        <v>1041</v>
      </c>
      <c r="T20" s="412">
        <v>1171</v>
      </c>
      <c r="U20" s="412">
        <v>1331</v>
      </c>
      <c r="V20" s="412">
        <v>1456</v>
      </c>
      <c r="W20" s="333"/>
    </row>
    <row r="21" spans="1:23">
      <c r="E21" s="333"/>
      <c r="F21" s="268" t="s">
        <v>269</v>
      </c>
      <c r="G21" s="336" t="s">
        <v>241</v>
      </c>
      <c r="H21" s="334">
        <v>562</v>
      </c>
      <c r="I21" s="334">
        <v>721</v>
      </c>
      <c r="J21" s="334">
        <v>826</v>
      </c>
      <c r="K21" s="334">
        <v>1082</v>
      </c>
      <c r="L21" s="334">
        <v>1110</v>
      </c>
      <c r="M21" s="334">
        <v>1277</v>
      </c>
      <c r="N21" s="334">
        <v>1443</v>
      </c>
      <c r="O21" s="338" t="s">
        <v>242</v>
      </c>
      <c r="P21" s="334">
        <v>562</v>
      </c>
      <c r="Q21" s="334">
        <v>721</v>
      </c>
      <c r="R21" s="334">
        <v>826</v>
      </c>
      <c r="S21" s="334">
        <v>1082</v>
      </c>
      <c r="T21" s="334">
        <v>1110</v>
      </c>
      <c r="U21" s="334">
        <v>1277</v>
      </c>
      <c r="V21" s="334">
        <v>1443</v>
      </c>
      <c r="W21" s="333"/>
    </row>
    <row r="22" spans="1:23">
      <c r="E22" s="333"/>
      <c r="F22" s="268" t="s">
        <v>270</v>
      </c>
      <c r="G22" s="336" t="s">
        <v>241</v>
      </c>
      <c r="H22" s="334">
        <v>562</v>
      </c>
      <c r="I22" s="334">
        <v>653</v>
      </c>
      <c r="J22" s="334">
        <v>826</v>
      </c>
      <c r="K22" s="334">
        <v>1024</v>
      </c>
      <c r="L22" s="334">
        <v>1110</v>
      </c>
      <c r="M22" s="334">
        <v>1277</v>
      </c>
      <c r="N22" s="334">
        <v>1443</v>
      </c>
      <c r="O22" s="338" t="s">
        <v>242</v>
      </c>
      <c r="P22" s="334">
        <v>562</v>
      </c>
      <c r="Q22" s="334">
        <v>653</v>
      </c>
      <c r="R22" s="334">
        <v>826</v>
      </c>
      <c r="S22" s="334">
        <v>1024</v>
      </c>
      <c r="T22" s="334">
        <v>1110</v>
      </c>
      <c r="U22" s="334">
        <v>1277</v>
      </c>
      <c r="V22" s="334">
        <v>1443</v>
      </c>
      <c r="W22" s="333"/>
    </row>
    <row r="23" spans="1:23">
      <c r="E23" s="333"/>
      <c r="F23" s="268" t="s">
        <v>271</v>
      </c>
      <c r="G23" s="336" t="s">
        <v>241</v>
      </c>
      <c r="H23" s="334">
        <v>620</v>
      </c>
      <c r="I23" s="334">
        <v>705</v>
      </c>
      <c r="J23" s="334">
        <v>928</v>
      </c>
      <c r="K23" s="334">
        <v>1139</v>
      </c>
      <c r="L23" s="334">
        <v>1247</v>
      </c>
      <c r="M23" s="334">
        <v>1434</v>
      </c>
      <c r="N23" s="334">
        <v>1621</v>
      </c>
      <c r="O23" s="338" t="s">
        <v>242</v>
      </c>
      <c r="P23" s="334">
        <v>620</v>
      </c>
      <c r="Q23" s="334">
        <v>705</v>
      </c>
      <c r="R23" s="334">
        <v>928</v>
      </c>
      <c r="S23" s="334">
        <v>1122</v>
      </c>
      <c r="T23" s="334">
        <v>1247</v>
      </c>
      <c r="U23" s="334">
        <v>1381</v>
      </c>
      <c r="V23" s="334">
        <v>1510</v>
      </c>
      <c r="W23" s="333"/>
    </row>
    <row r="24" spans="1:23">
      <c r="E24" s="333"/>
      <c r="F24" s="268" t="s">
        <v>272</v>
      </c>
      <c r="G24" s="336" t="s">
        <v>241</v>
      </c>
      <c r="H24" s="334">
        <v>584</v>
      </c>
      <c r="I24" s="334">
        <v>661</v>
      </c>
      <c r="J24" s="334">
        <v>859</v>
      </c>
      <c r="K24" s="334">
        <v>1142</v>
      </c>
      <c r="L24" s="334">
        <v>1167</v>
      </c>
      <c r="M24" s="334">
        <v>1342</v>
      </c>
      <c r="N24" s="334">
        <v>1517</v>
      </c>
      <c r="O24" s="338" t="s">
        <v>242</v>
      </c>
      <c r="P24" s="334">
        <v>584</v>
      </c>
      <c r="Q24" s="334">
        <v>661</v>
      </c>
      <c r="R24" s="334">
        <v>859</v>
      </c>
      <c r="S24" s="334">
        <v>1081</v>
      </c>
      <c r="T24" s="334">
        <v>1167</v>
      </c>
      <c r="U24" s="334">
        <v>1331</v>
      </c>
      <c r="V24" s="334">
        <v>1456</v>
      </c>
      <c r="W24" s="333"/>
    </row>
    <row r="25" spans="1:23">
      <c r="F25" s="268" t="s">
        <v>273</v>
      </c>
      <c r="G25" s="336" t="s">
        <v>241</v>
      </c>
      <c r="H25" s="334">
        <v>592</v>
      </c>
      <c r="I25" s="334">
        <v>733</v>
      </c>
      <c r="J25" s="334">
        <v>871</v>
      </c>
      <c r="K25" s="334">
        <v>1090</v>
      </c>
      <c r="L25" s="334">
        <v>1216</v>
      </c>
      <c r="M25" s="334">
        <v>1398</v>
      </c>
      <c r="N25" s="334">
        <v>1581</v>
      </c>
      <c r="O25" s="338" t="s">
        <v>242</v>
      </c>
      <c r="P25" s="334">
        <v>592</v>
      </c>
      <c r="Q25" s="334">
        <v>733</v>
      </c>
      <c r="R25" s="334">
        <v>871</v>
      </c>
      <c r="S25" s="334">
        <v>1081</v>
      </c>
      <c r="T25" s="334">
        <v>1207</v>
      </c>
      <c r="U25" s="334">
        <v>1331</v>
      </c>
      <c r="V25" s="334">
        <v>1456</v>
      </c>
    </row>
    <row r="26" spans="1:23">
      <c r="F26" s="268" t="s">
        <v>274</v>
      </c>
      <c r="G26" s="336" t="s">
        <v>241</v>
      </c>
      <c r="H26" s="334">
        <v>562</v>
      </c>
      <c r="I26" s="334">
        <v>628</v>
      </c>
      <c r="J26" s="334">
        <v>826</v>
      </c>
      <c r="K26" s="334">
        <v>1005</v>
      </c>
      <c r="L26" s="334">
        <v>1122</v>
      </c>
      <c r="M26" s="334">
        <v>1290</v>
      </c>
      <c r="N26" s="334">
        <v>1459</v>
      </c>
      <c r="O26" s="338" t="s">
        <v>242</v>
      </c>
      <c r="P26" s="334">
        <v>562</v>
      </c>
      <c r="Q26" s="334">
        <v>628</v>
      </c>
      <c r="R26" s="334">
        <v>826</v>
      </c>
      <c r="S26" s="334">
        <v>1005</v>
      </c>
      <c r="T26" s="334">
        <v>1122</v>
      </c>
      <c r="U26" s="334">
        <v>1290</v>
      </c>
      <c r="V26" s="334">
        <v>1456</v>
      </c>
    </row>
    <row r="27" spans="1:23">
      <c r="F27" s="268" t="s">
        <v>275</v>
      </c>
      <c r="G27" s="336" t="s">
        <v>241</v>
      </c>
      <c r="H27" s="334">
        <v>620</v>
      </c>
      <c r="I27" s="334">
        <v>705</v>
      </c>
      <c r="J27" s="334">
        <v>928</v>
      </c>
      <c r="K27" s="334">
        <v>1139</v>
      </c>
      <c r="L27" s="334">
        <v>1247</v>
      </c>
      <c r="M27" s="334">
        <v>1434</v>
      </c>
      <c r="N27" s="334">
        <v>1621</v>
      </c>
      <c r="O27" s="338" t="s">
        <v>242</v>
      </c>
      <c r="P27" s="334">
        <v>620</v>
      </c>
      <c r="Q27" s="334">
        <v>705</v>
      </c>
      <c r="R27" s="334">
        <v>928</v>
      </c>
      <c r="S27" s="334">
        <v>1122</v>
      </c>
      <c r="T27" s="334">
        <v>1247</v>
      </c>
      <c r="U27" s="334">
        <v>1381</v>
      </c>
      <c r="V27" s="334">
        <v>1510</v>
      </c>
    </row>
    <row r="28" spans="1:23">
      <c r="F28" s="268" t="s">
        <v>276</v>
      </c>
      <c r="G28" s="336" t="s">
        <v>241</v>
      </c>
      <c r="H28" s="334">
        <v>637</v>
      </c>
      <c r="I28" s="334">
        <v>711</v>
      </c>
      <c r="J28" s="334">
        <v>936</v>
      </c>
      <c r="K28" s="334">
        <v>1139</v>
      </c>
      <c r="L28" s="334">
        <v>1257</v>
      </c>
      <c r="M28" s="334">
        <v>1446</v>
      </c>
      <c r="N28" s="334">
        <v>1634</v>
      </c>
      <c r="O28" s="338" t="s">
        <v>242</v>
      </c>
      <c r="P28" s="334">
        <v>637</v>
      </c>
      <c r="Q28" s="334">
        <v>711</v>
      </c>
      <c r="R28" s="334">
        <v>936</v>
      </c>
      <c r="S28" s="334">
        <v>1081</v>
      </c>
      <c r="T28" s="334">
        <v>1207</v>
      </c>
      <c r="U28" s="334">
        <v>1331</v>
      </c>
      <c r="V28" s="334">
        <v>1456</v>
      </c>
    </row>
    <row r="29" spans="1:23">
      <c r="A29"/>
      <c r="F29" s="268" t="s">
        <v>277</v>
      </c>
      <c r="G29" s="336" t="s">
        <v>241</v>
      </c>
      <c r="H29" s="334">
        <v>801</v>
      </c>
      <c r="I29" s="334">
        <v>888</v>
      </c>
      <c r="J29" s="334">
        <v>1083</v>
      </c>
      <c r="K29" s="334">
        <v>1449</v>
      </c>
      <c r="L29" s="334">
        <v>1611</v>
      </c>
      <c r="M29" s="334">
        <v>1853</v>
      </c>
      <c r="N29" s="334">
        <v>2094</v>
      </c>
      <c r="O29" s="338" t="s">
        <v>242</v>
      </c>
      <c r="P29" s="334">
        <v>801</v>
      </c>
      <c r="Q29" s="334">
        <v>888</v>
      </c>
      <c r="R29" s="334">
        <v>1083</v>
      </c>
      <c r="S29" s="334">
        <v>1309</v>
      </c>
      <c r="T29" s="334">
        <v>1461</v>
      </c>
      <c r="U29" s="334">
        <v>1611</v>
      </c>
      <c r="V29" s="334">
        <v>1762</v>
      </c>
    </row>
    <row r="30" spans="1:23">
      <c r="A30"/>
      <c r="F30" s="268" t="s">
        <v>278</v>
      </c>
      <c r="G30" s="336" t="s">
        <v>241</v>
      </c>
      <c r="H30" s="334">
        <v>562</v>
      </c>
      <c r="I30" s="334">
        <v>628</v>
      </c>
      <c r="J30" s="334">
        <v>826</v>
      </c>
      <c r="K30" s="334">
        <v>1014</v>
      </c>
      <c r="L30" s="334">
        <v>1122</v>
      </c>
      <c r="M30" s="334">
        <v>1290</v>
      </c>
      <c r="N30" s="334">
        <v>1459</v>
      </c>
      <c r="O30" s="338" t="s">
        <v>242</v>
      </c>
      <c r="P30" s="334">
        <v>562</v>
      </c>
      <c r="Q30" s="334">
        <v>628</v>
      </c>
      <c r="R30" s="334">
        <v>826</v>
      </c>
      <c r="S30" s="334">
        <v>1014</v>
      </c>
      <c r="T30" s="334">
        <v>1122</v>
      </c>
      <c r="U30" s="334">
        <v>1290</v>
      </c>
      <c r="V30" s="334">
        <v>1456</v>
      </c>
    </row>
    <row r="31" spans="1:23">
      <c r="F31" s="268" t="s">
        <v>279</v>
      </c>
      <c r="G31" s="336" t="s">
        <v>241</v>
      </c>
      <c r="H31" s="334">
        <v>562</v>
      </c>
      <c r="I31" s="334">
        <v>709</v>
      </c>
      <c r="J31" s="334">
        <v>826</v>
      </c>
      <c r="K31" s="334">
        <v>1005</v>
      </c>
      <c r="L31" s="334">
        <v>1110</v>
      </c>
      <c r="M31" s="334">
        <v>1277</v>
      </c>
      <c r="N31" s="334">
        <v>1443</v>
      </c>
      <c r="O31" s="338" t="s">
        <v>242</v>
      </c>
      <c r="P31" s="334">
        <v>562</v>
      </c>
      <c r="Q31" s="334">
        <v>709</v>
      </c>
      <c r="R31" s="334">
        <v>826</v>
      </c>
      <c r="S31" s="334">
        <v>1005</v>
      </c>
      <c r="T31" s="334">
        <v>1110</v>
      </c>
      <c r="U31" s="334">
        <v>1277</v>
      </c>
      <c r="V31" s="334">
        <v>1443</v>
      </c>
    </row>
    <row r="32" spans="1:23">
      <c r="A32" s="250"/>
      <c r="F32" s="268" t="s">
        <v>280</v>
      </c>
      <c r="G32" s="336" t="s">
        <v>241</v>
      </c>
      <c r="H32" s="334">
        <v>562</v>
      </c>
      <c r="I32" s="334">
        <v>628</v>
      </c>
      <c r="J32" s="334">
        <v>826</v>
      </c>
      <c r="K32" s="334">
        <v>1049</v>
      </c>
      <c r="L32" s="334">
        <v>1239</v>
      </c>
      <c r="M32" s="334">
        <v>1425</v>
      </c>
      <c r="N32" s="334">
        <v>1611</v>
      </c>
      <c r="O32" s="338" t="s">
        <v>242</v>
      </c>
      <c r="P32" s="334">
        <v>562</v>
      </c>
      <c r="Q32" s="334">
        <v>628</v>
      </c>
      <c r="R32" s="334">
        <v>826</v>
      </c>
      <c r="S32" s="334">
        <v>1049</v>
      </c>
      <c r="T32" s="334">
        <v>1207</v>
      </c>
      <c r="U32" s="334">
        <v>1331</v>
      </c>
      <c r="V32" s="334">
        <v>1456</v>
      </c>
    </row>
    <row r="33" spans="1:22">
      <c r="A33" s="267"/>
      <c r="F33" s="268" t="s">
        <v>281</v>
      </c>
      <c r="G33" s="336" t="s">
        <v>241</v>
      </c>
      <c r="H33" s="334">
        <v>562</v>
      </c>
      <c r="I33" s="334">
        <v>628</v>
      </c>
      <c r="J33" s="334">
        <v>826</v>
      </c>
      <c r="K33" s="334">
        <v>1028</v>
      </c>
      <c r="L33" s="334">
        <v>1110</v>
      </c>
      <c r="M33" s="334">
        <v>1277</v>
      </c>
      <c r="N33" s="334">
        <v>1443</v>
      </c>
      <c r="O33" s="338" t="s">
        <v>242</v>
      </c>
      <c r="P33" s="334">
        <v>562</v>
      </c>
      <c r="Q33" s="334">
        <v>628</v>
      </c>
      <c r="R33" s="334">
        <v>826</v>
      </c>
      <c r="S33" s="334">
        <v>1028</v>
      </c>
      <c r="T33" s="334">
        <v>1110</v>
      </c>
      <c r="U33" s="334">
        <v>1277</v>
      </c>
      <c r="V33" s="334">
        <v>1443</v>
      </c>
    </row>
    <row r="34" spans="1:22">
      <c r="F34" s="268" t="s">
        <v>282</v>
      </c>
      <c r="G34" s="336" t="s">
        <v>241</v>
      </c>
      <c r="H34" s="334">
        <v>562</v>
      </c>
      <c r="I34" s="334">
        <v>664</v>
      </c>
      <c r="J34" s="334">
        <v>826</v>
      </c>
      <c r="K34" s="334">
        <v>1005</v>
      </c>
      <c r="L34" s="334">
        <v>1110</v>
      </c>
      <c r="M34" s="334">
        <v>1277</v>
      </c>
      <c r="N34" s="334">
        <v>1443</v>
      </c>
      <c r="O34" s="338" t="s">
        <v>242</v>
      </c>
      <c r="P34" s="334">
        <v>562</v>
      </c>
      <c r="Q34" s="334">
        <v>664</v>
      </c>
      <c r="R34" s="334">
        <v>826</v>
      </c>
      <c r="S34" s="334">
        <v>1005</v>
      </c>
      <c r="T34" s="334">
        <v>1110</v>
      </c>
      <c r="U34" s="334">
        <v>1277</v>
      </c>
      <c r="V34" s="334">
        <v>1443</v>
      </c>
    </row>
    <row r="35" spans="1:22">
      <c r="F35" s="268" t="s">
        <v>283</v>
      </c>
      <c r="G35" s="336" t="s">
        <v>241</v>
      </c>
      <c r="H35" s="334">
        <v>562</v>
      </c>
      <c r="I35" s="334">
        <v>628</v>
      </c>
      <c r="J35" s="334">
        <v>826</v>
      </c>
      <c r="K35" s="334">
        <v>1005</v>
      </c>
      <c r="L35" s="334">
        <v>1210</v>
      </c>
      <c r="M35" s="334">
        <v>1392</v>
      </c>
      <c r="N35" s="334">
        <v>1573</v>
      </c>
      <c r="O35" s="338" t="s">
        <v>242</v>
      </c>
      <c r="P35" s="334">
        <v>562</v>
      </c>
      <c r="Q35" s="334">
        <v>628</v>
      </c>
      <c r="R35" s="334">
        <v>826</v>
      </c>
      <c r="S35" s="334">
        <v>1005</v>
      </c>
      <c r="T35" s="334">
        <v>1210</v>
      </c>
      <c r="U35" s="334">
        <v>1358</v>
      </c>
      <c r="V35" s="334">
        <v>1485</v>
      </c>
    </row>
    <row r="36" spans="1:22">
      <c r="F36" s="268" t="s">
        <v>284</v>
      </c>
      <c r="G36" s="336" t="s">
        <v>241</v>
      </c>
      <c r="H36" s="334">
        <v>570</v>
      </c>
      <c r="I36" s="334">
        <v>637</v>
      </c>
      <c r="J36" s="334">
        <v>838</v>
      </c>
      <c r="K36" s="334">
        <v>1075</v>
      </c>
      <c r="L36" s="334">
        <v>1138</v>
      </c>
      <c r="M36" s="334">
        <v>1309</v>
      </c>
      <c r="N36" s="334">
        <v>1479</v>
      </c>
      <c r="O36" s="338" t="s">
        <v>242</v>
      </c>
      <c r="P36" s="334">
        <v>570</v>
      </c>
      <c r="Q36" s="334">
        <v>637</v>
      </c>
      <c r="R36" s="334">
        <v>838</v>
      </c>
      <c r="S36" s="334">
        <v>1075</v>
      </c>
      <c r="T36" s="334">
        <v>1138</v>
      </c>
      <c r="U36" s="334">
        <v>1309</v>
      </c>
      <c r="V36" s="334">
        <v>1456</v>
      </c>
    </row>
    <row r="37" spans="1:22">
      <c r="F37" s="268" t="s">
        <v>285</v>
      </c>
      <c r="G37" s="336" t="s">
        <v>241</v>
      </c>
      <c r="H37" s="334">
        <v>562</v>
      </c>
      <c r="I37" s="334">
        <v>700</v>
      </c>
      <c r="J37" s="334">
        <v>826</v>
      </c>
      <c r="K37" s="334">
        <v>1118</v>
      </c>
      <c r="L37" s="334">
        <v>1122</v>
      </c>
      <c r="M37" s="334">
        <v>1290</v>
      </c>
      <c r="N37" s="334">
        <v>1459</v>
      </c>
      <c r="O37" s="338" t="s">
        <v>242</v>
      </c>
      <c r="P37" s="334">
        <v>562</v>
      </c>
      <c r="Q37" s="334">
        <v>700</v>
      </c>
      <c r="R37" s="334">
        <v>826</v>
      </c>
      <c r="S37" s="334">
        <v>1081</v>
      </c>
      <c r="T37" s="334">
        <v>1122</v>
      </c>
      <c r="U37" s="334">
        <v>1290</v>
      </c>
      <c r="V37" s="334">
        <v>1456</v>
      </c>
    </row>
    <row r="38" spans="1:22">
      <c r="F38" s="268" t="s">
        <v>286</v>
      </c>
      <c r="G38" s="336" t="s">
        <v>241</v>
      </c>
      <c r="H38" s="334">
        <v>576</v>
      </c>
      <c r="I38" s="334">
        <v>643</v>
      </c>
      <c r="J38" s="334">
        <v>847</v>
      </c>
      <c r="K38" s="334">
        <v>1100</v>
      </c>
      <c r="L38" s="334">
        <v>1195</v>
      </c>
      <c r="M38" s="334">
        <v>1374</v>
      </c>
      <c r="N38" s="334">
        <v>1554</v>
      </c>
      <c r="O38" s="338" t="s">
        <v>242</v>
      </c>
      <c r="P38" s="334">
        <v>576</v>
      </c>
      <c r="Q38" s="334">
        <v>643</v>
      </c>
      <c r="R38" s="334">
        <v>847</v>
      </c>
      <c r="S38" s="334">
        <v>1100</v>
      </c>
      <c r="T38" s="334">
        <v>1195</v>
      </c>
      <c r="U38" s="334">
        <v>1374</v>
      </c>
      <c r="V38" s="334">
        <v>1554</v>
      </c>
    </row>
    <row r="39" spans="1:22">
      <c r="F39" s="268" t="s">
        <v>287</v>
      </c>
      <c r="G39" s="336" t="s">
        <v>241</v>
      </c>
      <c r="H39" s="334">
        <v>570</v>
      </c>
      <c r="I39" s="334">
        <v>637</v>
      </c>
      <c r="J39" s="334">
        <v>838</v>
      </c>
      <c r="K39" s="334">
        <v>1075</v>
      </c>
      <c r="L39" s="334">
        <v>1138</v>
      </c>
      <c r="M39" s="334">
        <v>1309</v>
      </c>
      <c r="N39" s="334">
        <v>1479</v>
      </c>
      <c r="O39" s="338" t="s">
        <v>242</v>
      </c>
      <c r="P39" s="334">
        <v>570</v>
      </c>
      <c r="Q39" s="334">
        <v>637</v>
      </c>
      <c r="R39" s="334">
        <v>838</v>
      </c>
      <c r="S39" s="334">
        <v>1075</v>
      </c>
      <c r="T39" s="334">
        <v>1138</v>
      </c>
      <c r="U39" s="334">
        <v>1309</v>
      </c>
      <c r="V39" s="334">
        <v>1456</v>
      </c>
    </row>
    <row r="40" spans="1:22">
      <c r="F40" s="268" t="s">
        <v>288</v>
      </c>
      <c r="G40" s="336" t="s">
        <v>241</v>
      </c>
      <c r="H40" s="334">
        <v>562</v>
      </c>
      <c r="I40" s="334">
        <v>628</v>
      </c>
      <c r="J40" s="334">
        <v>826</v>
      </c>
      <c r="K40" s="334">
        <v>1005</v>
      </c>
      <c r="L40" s="334">
        <v>1110</v>
      </c>
      <c r="M40" s="334">
        <v>1277</v>
      </c>
      <c r="N40" s="334">
        <v>1443</v>
      </c>
      <c r="O40" s="338" t="s">
        <v>242</v>
      </c>
      <c r="P40" s="334">
        <v>562</v>
      </c>
      <c r="Q40" s="334">
        <v>628</v>
      </c>
      <c r="R40" s="334">
        <v>826</v>
      </c>
      <c r="S40" s="334">
        <v>1005</v>
      </c>
      <c r="T40" s="334">
        <v>1110</v>
      </c>
      <c r="U40" s="334">
        <v>1277</v>
      </c>
      <c r="V40" s="334">
        <v>1443</v>
      </c>
    </row>
    <row r="41" spans="1:22">
      <c r="F41" s="268" t="s">
        <v>289</v>
      </c>
      <c r="G41" s="336" t="s">
        <v>241</v>
      </c>
      <c r="H41" s="334">
        <v>609</v>
      </c>
      <c r="I41" s="334">
        <v>716</v>
      </c>
      <c r="J41" s="334">
        <v>891</v>
      </c>
      <c r="K41" s="334">
        <v>1155</v>
      </c>
      <c r="L41" s="334">
        <v>1240</v>
      </c>
      <c r="M41" s="334">
        <v>1426</v>
      </c>
      <c r="N41" s="334">
        <v>1612</v>
      </c>
      <c r="O41" s="338" t="s">
        <v>242</v>
      </c>
      <c r="P41" s="334">
        <v>609</v>
      </c>
      <c r="Q41" s="334">
        <v>716</v>
      </c>
      <c r="R41" s="334">
        <v>891</v>
      </c>
      <c r="S41" s="334">
        <v>1081</v>
      </c>
      <c r="T41" s="334">
        <v>1207</v>
      </c>
      <c r="U41" s="334">
        <v>1331</v>
      </c>
      <c r="V41" s="334">
        <v>1456</v>
      </c>
    </row>
    <row r="42" spans="1:22">
      <c r="F42" s="271" t="s">
        <v>290</v>
      </c>
      <c r="G42" s="336" t="s">
        <v>241</v>
      </c>
      <c r="H42" s="334">
        <v>609</v>
      </c>
      <c r="I42" s="334">
        <v>716</v>
      </c>
      <c r="J42" s="334">
        <v>891</v>
      </c>
      <c r="K42" s="334">
        <v>1155</v>
      </c>
      <c r="L42" s="334">
        <v>1240</v>
      </c>
      <c r="M42" s="334">
        <v>1426</v>
      </c>
      <c r="N42" s="334">
        <v>1612</v>
      </c>
      <c r="O42" s="338" t="s">
        <v>242</v>
      </c>
      <c r="P42" s="334">
        <v>609</v>
      </c>
      <c r="Q42" s="334">
        <v>716</v>
      </c>
      <c r="R42" s="334">
        <v>891</v>
      </c>
      <c r="S42" s="334">
        <v>1081</v>
      </c>
      <c r="T42" s="334">
        <v>1207</v>
      </c>
      <c r="U42" s="334">
        <v>1331</v>
      </c>
      <c r="V42" s="334">
        <v>1456</v>
      </c>
    </row>
    <row r="43" spans="1:22">
      <c r="F43" s="268" t="s">
        <v>291</v>
      </c>
      <c r="G43" s="336" t="s">
        <v>241</v>
      </c>
      <c r="H43" s="334">
        <v>562</v>
      </c>
      <c r="I43" s="334">
        <v>628</v>
      </c>
      <c r="J43" s="334">
        <v>826</v>
      </c>
      <c r="K43" s="334">
        <v>1085</v>
      </c>
      <c r="L43" s="334">
        <v>1299</v>
      </c>
      <c r="M43" s="334">
        <v>1494</v>
      </c>
      <c r="N43" s="334">
        <v>1689</v>
      </c>
      <c r="O43" s="338" t="s">
        <v>242</v>
      </c>
      <c r="P43" s="334">
        <v>562</v>
      </c>
      <c r="Q43" s="334">
        <v>628</v>
      </c>
      <c r="R43" s="334">
        <v>826</v>
      </c>
      <c r="S43" s="334">
        <v>1085</v>
      </c>
      <c r="T43" s="334">
        <v>1299</v>
      </c>
      <c r="U43" s="334">
        <v>1463</v>
      </c>
      <c r="V43" s="334">
        <v>1599</v>
      </c>
    </row>
    <row r="44" spans="1:22">
      <c r="F44" s="268" t="s">
        <v>292</v>
      </c>
      <c r="G44" s="336" t="s">
        <v>241</v>
      </c>
      <c r="H44" s="334">
        <v>562</v>
      </c>
      <c r="I44" s="334">
        <v>628</v>
      </c>
      <c r="J44" s="334">
        <v>826</v>
      </c>
      <c r="K44" s="334">
        <v>1059</v>
      </c>
      <c r="L44" s="334">
        <v>1110</v>
      </c>
      <c r="M44" s="334">
        <v>1277</v>
      </c>
      <c r="N44" s="334">
        <v>1443</v>
      </c>
      <c r="O44" s="338" t="s">
        <v>242</v>
      </c>
      <c r="P44" s="334">
        <v>562</v>
      </c>
      <c r="Q44" s="334">
        <v>628</v>
      </c>
      <c r="R44" s="334">
        <v>826</v>
      </c>
      <c r="S44" s="334">
        <v>1059</v>
      </c>
      <c r="T44" s="334">
        <v>1110</v>
      </c>
      <c r="U44" s="334">
        <v>1277</v>
      </c>
      <c r="V44" s="334">
        <v>1443</v>
      </c>
    </row>
    <row r="45" spans="1:22">
      <c r="F45" s="268" t="s">
        <v>293</v>
      </c>
      <c r="G45" s="336" t="s">
        <v>241</v>
      </c>
      <c r="H45" s="334">
        <v>562</v>
      </c>
      <c r="I45" s="334">
        <v>628</v>
      </c>
      <c r="J45" s="334">
        <v>826</v>
      </c>
      <c r="K45" s="334">
        <v>1059</v>
      </c>
      <c r="L45" s="334">
        <v>1122</v>
      </c>
      <c r="M45" s="334">
        <v>1290</v>
      </c>
      <c r="N45" s="334">
        <v>1459</v>
      </c>
      <c r="O45" s="338" t="s">
        <v>242</v>
      </c>
      <c r="P45" s="334">
        <v>562</v>
      </c>
      <c r="Q45" s="334">
        <v>628</v>
      </c>
      <c r="R45" s="334">
        <v>826</v>
      </c>
      <c r="S45" s="334">
        <v>1059</v>
      </c>
      <c r="T45" s="334">
        <v>1122</v>
      </c>
      <c r="U45" s="334">
        <v>1290</v>
      </c>
      <c r="V45" s="334">
        <v>1456</v>
      </c>
    </row>
    <row r="46" spans="1:22">
      <c r="F46" s="268" t="s">
        <v>294</v>
      </c>
      <c r="G46" s="336" t="s">
        <v>241</v>
      </c>
      <c r="H46" s="334">
        <v>562</v>
      </c>
      <c r="I46" s="334">
        <v>632</v>
      </c>
      <c r="J46" s="334">
        <v>826</v>
      </c>
      <c r="K46" s="334">
        <v>1101</v>
      </c>
      <c r="L46" s="334">
        <v>1181</v>
      </c>
      <c r="M46" s="334">
        <v>1358</v>
      </c>
      <c r="N46" s="334">
        <v>1535</v>
      </c>
      <c r="O46" s="338" t="s">
        <v>242</v>
      </c>
      <c r="P46" s="334">
        <v>562</v>
      </c>
      <c r="Q46" s="334">
        <v>632</v>
      </c>
      <c r="R46" s="334">
        <v>826</v>
      </c>
      <c r="S46" s="334">
        <v>1081</v>
      </c>
      <c r="T46" s="334">
        <v>1181</v>
      </c>
      <c r="U46" s="334">
        <v>1331</v>
      </c>
      <c r="V46" s="334">
        <v>1456</v>
      </c>
    </row>
    <row r="47" spans="1:22">
      <c r="F47" s="268" t="s">
        <v>295</v>
      </c>
      <c r="G47" s="336" t="s">
        <v>241</v>
      </c>
      <c r="H47" s="334">
        <v>562</v>
      </c>
      <c r="I47" s="334">
        <v>696</v>
      </c>
      <c r="J47" s="334">
        <v>826</v>
      </c>
      <c r="K47" s="334">
        <v>1005</v>
      </c>
      <c r="L47" s="334">
        <v>1374</v>
      </c>
      <c r="M47" s="334">
        <v>1580</v>
      </c>
      <c r="N47" s="334">
        <v>1786</v>
      </c>
      <c r="O47" s="338" t="s">
        <v>242</v>
      </c>
      <c r="P47" s="334">
        <v>562</v>
      </c>
      <c r="Q47" s="334">
        <v>696</v>
      </c>
      <c r="R47" s="334">
        <v>826</v>
      </c>
      <c r="S47" s="334">
        <v>1005</v>
      </c>
      <c r="T47" s="334">
        <v>1250</v>
      </c>
      <c r="U47" s="334">
        <v>1379</v>
      </c>
      <c r="V47" s="334">
        <v>1508</v>
      </c>
    </row>
    <row r="48" spans="1:22">
      <c r="F48" s="268" t="s">
        <v>296</v>
      </c>
      <c r="G48" s="336" t="s">
        <v>241</v>
      </c>
      <c r="H48" s="334">
        <v>562</v>
      </c>
      <c r="I48" s="334">
        <v>730</v>
      </c>
      <c r="J48" s="334">
        <v>826</v>
      </c>
      <c r="K48" s="334">
        <v>1059</v>
      </c>
      <c r="L48" s="334">
        <v>1122</v>
      </c>
      <c r="M48" s="334">
        <v>1290</v>
      </c>
      <c r="N48" s="334">
        <v>1459</v>
      </c>
      <c r="O48" s="338" t="s">
        <v>242</v>
      </c>
      <c r="P48" s="334">
        <v>562</v>
      </c>
      <c r="Q48" s="334">
        <v>730</v>
      </c>
      <c r="R48" s="334">
        <v>826</v>
      </c>
      <c r="S48" s="334">
        <v>1059</v>
      </c>
      <c r="T48" s="334">
        <v>1122</v>
      </c>
      <c r="U48" s="334">
        <v>1290</v>
      </c>
      <c r="V48" s="334">
        <v>1456</v>
      </c>
    </row>
    <row r="49" spans="6:22">
      <c r="F49" s="268" t="s">
        <v>297</v>
      </c>
      <c r="G49" s="336" t="s">
        <v>241</v>
      </c>
      <c r="H49" s="334">
        <v>576</v>
      </c>
      <c r="I49" s="334">
        <v>628</v>
      </c>
      <c r="J49" s="334">
        <v>826</v>
      </c>
      <c r="K49" s="334">
        <v>1005</v>
      </c>
      <c r="L49" s="334">
        <v>1110</v>
      </c>
      <c r="M49" s="334">
        <v>1277</v>
      </c>
      <c r="N49" s="334">
        <v>1443</v>
      </c>
      <c r="O49" s="338" t="s">
        <v>242</v>
      </c>
      <c r="P49" s="334">
        <v>576</v>
      </c>
      <c r="Q49" s="334">
        <v>628</v>
      </c>
      <c r="R49" s="334">
        <v>826</v>
      </c>
      <c r="S49" s="334">
        <v>1005</v>
      </c>
      <c r="T49" s="334">
        <v>1110</v>
      </c>
      <c r="U49" s="334">
        <v>1277</v>
      </c>
      <c r="V49" s="334">
        <v>1443</v>
      </c>
    </row>
    <row r="50" spans="6:22">
      <c r="F50" s="268" t="s">
        <v>298</v>
      </c>
      <c r="G50" s="336" t="s">
        <v>241</v>
      </c>
      <c r="H50" s="334">
        <v>576</v>
      </c>
      <c r="I50" s="334">
        <v>628</v>
      </c>
      <c r="J50" s="334">
        <v>826</v>
      </c>
      <c r="K50" s="334">
        <v>1005</v>
      </c>
      <c r="L50" s="334">
        <v>1110</v>
      </c>
      <c r="M50" s="334">
        <v>1277</v>
      </c>
      <c r="N50" s="334">
        <v>1443</v>
      </c>
      <c r="O50" s="338" t="s">
        <v>242</v>
      </c>
      <c r="P50" s="334">
        <v>576</v>
      </c>
      <c r="Q50" s="334">
        <v>628</v>
      </c>
      <c r="R50" s="334">
        <v>826</v>
      </c>
      <c r="S50" s="334">
        <v>1005</v>
      </c>
      <c r="T50" s="334">
        <v>1110</v>
      </c>
      <c r="U50" s="334">
        <v>1277</v>
      </c>
      <c r="V50" s="334">
        <v>1443</v>
      </c>
    </row>
    <row r="51" spans="6:22">
      <c r="F51" s="268" t="s">
        <v>299</v>
      </c>
      <c r="G51" s="336" t="s">
        <v>241</v>
      </c>
      <c r="H51" s="334">
        <v>562</v>
      </c>
      <c r="I51" s="334">
        <v>628</v>
      </c>
      <c r="J51" s="334">
        <v>826</v>
      </c>
      <c r="K51" s="334">
        <v>1030</v>
      </c>
      <c r="L51" s="334">
        <v>1115</v>
      </c>
      <c r="M51" s="334">
        <v>1282</v>
      </c>
      <c r="N51" s="334">
        <v>1450</v>
      </c>
      <c r="O51" s="338" t="s">
        <v>242</v>
      </c>
      <c r="P51" s="334">
        <v>562</v>
      </c>
      <c r="Q51" s="334">
        <v>628</v>
      </c>
      <c r="R51" s="334">
        <v>826</v>
      </c>
      <c r="S51" s="334">
        <v>1030</v>
      </c>
      <c r="T51" s="334">
        <v>1115</v>
      </c>
      <c r="U51" s="334">
        <v>1282</v>
      </c>
      <c r="V51" s="334">
        <v>1450</v>
      </c>
    </row>
    <row r="52" spans="6:22">
      <c r="F52" s="268" t="s">
        <v>300</v>
      </c>
      <c r="G52" s="336" t="s">
        <v>241</v>
      </c>
      <c r="H52" s="334">
        <v>562</v>
      </c>
      <c r="I52" s="334">
        <v>628</v>
      </c>
      <c r="J52" s="334">
        <v>826</v>
      </c>
      <c r="K52" s="334">
        <v>1005</v>
      </c>
      <c r="L52" s="334">
        <v>1122</v>
      </c>
      <c r="M52" s="334">
        <v>1290</v>
      </c>
      <c r="N52" s="334">
        <v>1459</v>
      </c>
      <c r="O52" s="338" t="s">
        <v>242</v>
      </c>
      <c r="P52" s="334">
        <v>562</v>
      </c>
      <c r="Q52" s="334">
        <v>628</v>
      </c>
      <c r="R52" s="334">
        <v>826</v>
      </c>
      <c r="S52" s="334">
        <v>1005</v>
      </c>
      <c r="T52" s="334">
        <v>1122</v>
      </c>
      <c r="U52" s="334">
        <v>1290</v>
      </c>
      <c r="V52" s="334">
        <v>1456</v>
      </c>
    </row>
    <row r="53" spans="6:22">
      <c r="F53" s="268" t="s">
        <v>301</v>
      </c>
      <c r="G53" s="336" t="s">
        <v>241</v>
      </c>
      <c r="H53" s="334">
        <v>573</v>
      </c>
      <c r="I53" s="334">
        <v>640</v>
      </c>
      <c r="J53" s="334">
        <v>842</v>
      </c>
      <c r="K53" s="334">
        <v>1025</v>
      </c>
      <c r="L53" s="334">
        <v>1131</v>
      </c>
      <c r="M53" s="334">
        <v>1301</v>
      </c>
      <c r="N53" s="334">
        <v>1470</v>
      </c>
      <c r="O53" s="338" t="s">
        <v>242</v>
      </c>
      <c r="P53" s="334">
        <v>573</v>
      </c>
      <c r="Q53" s="334">
        <v>640</v>
      </c>
      <c r="R53" s="334">
        <v>842</v>
      </c>
      <c r="S53" s="334">
        <v>1025</v>
      </c>
      <c r="T53" s="334">
        <v>1131</v>
      </c>
      <c r="U53" s="334">
        <v>1301</v>
      </c>
      <c r="V53" s="334">
        <v>1470</v>
      </c>
    </row>
    <row r="54" spans="6:22">
      <c r="F54" s="268" t="s">
        <v>302</v>
      </c>
      <c r="G54" s="336" t="s">
        <v>241</v>
      </c>
      <c r="H54" s="334">
        <v>562</v>
      </c>
      <c r="I54" s="334">
        <v>628</v>
      </c>
      <c r="J54" s="334">
        <v>826</v>
      </c>
      <c r="K54" s="334">
        <v>1077</v>
      </c>
      <c r="L54" s="334">
        <v>1318</v>
      </c>
      <c r="M54" s="334">
        <v>1516</v>
      </c>
      <c r="N54" s="334">
        <v>1713</v>
      </c>
      <c r="O54" s="338" t="s">
        <v>242</v>
      </c>
      <c r="P54" s="334">
        <v>562</v>
      </c>
      <c r="Q54" s="334">
        <v>628</v>
      </c>
      <c r="R54" s="334">
        <v>826</v>
      </c>
      <c r="S54" s="334">
        <v>1077</v>
      </c>
      <c r="T54" s="334">
        <v>1207</v>
      </c>
      <c r="U54" s="334">
        <v>1331</v>
      </c>
      <c r="V54" s="334">
        <v>1456</v>
      </c>
    </row>
    <row r="55" spans="6:22">
      <c r="F55" s="268" t="s">
        <v>303</v>
      </c>
      <c r="G55" s="336" t="s">
        <v>241</v>
      </c>
      <c r="H55" s="334">
        <v>562</v>
      </c>
      <c r="I55" s="334">
        <v>628</v>
      </c>
      <c r="J55" s="334">
        <v>826</v>
      </c>
      <c r="K55" s="334">
        <v>1005</v>
      </c>
      <c r="L55" s="334">
        <v>1122</v>
      </c>
      <c r="M55" s="334">
        <v>1290</v>
      </c>
      <c r="N55" s="334">
        <v>1459</v>
      </c>
      <c r="O55" s="338" t="s">
        <v>242</v>
      </c>
      <c r="P55" s="334">
        <v>562</v>
      </c>
      <c r="Q55" s="334">
        <v>628</v>
      </c>
      <c r="R55" s="334">
        <v>826</v>
      </c>
      <c r="S55" s="334">
        <v>1005</v>
      </c>
      <c r="T55" s="334">
        <v>1122</v>
      </c>
      <c r="U55" s="334">
        <v>1290</v>
      </c>
      <c r="V55" s="334">
        <v>1456</v>
      </c>
    </row>
    <row r="56" spans="6:22">
      <c r="F56" s="268" t="s">
        <v>304</v>
      </c>
      <c r="G56" s="336" t="s">
        <v>241</v>
      </c>
      <c r="H56" s="334">
        <v>562</v>
      </c>
      <c r="I56" s="334">
        <v>628</v>
      </c>
      <c r="J56" s="334">
        <v>826</v>
      </c>
      <c r="K56" s="334">
        <v>1112</v>
      </c>
      <c r="L56" s="334">
        <v>1407</v>
      </c>
      <c r="M56" s="334">
        <v>1618</v>
      </c>
      <c r="N56" s="334">
        <v>1788</v>
      </c>
      <c r="O56" s="338" t="s">
        <v>242</v>
      </c>
      <c r="P56" s="334">
        <v>562</v>
      </c>
      <c r="Q56" s="334">
        <v>628</v>
      </c>
      <c r="R56" s="334">
        <v>826</v>
      </c>
      <c r="S56" s="334">
        <v>1081</v>
      </c>
      <c r="T56" s="334">
        <v>1207</v>
      </c>
      <c r="U56" s="334">
        <v>1331</v>
      </c>
      <c r="V56" s="334">
        <v>1456</v>
      </c>
    </row>
    <row r="57" spans="6:22">
      <c r="F57" s="268" t="s">
        <v>305</v>
      </c>
      <c r="G57" s="336" t="s">
        <v>241</v>
      </c>
      <c r="H57" s="334">
        <v>562</v>
      </c>
      <c r="I57" s="334">
        <v>628</v>
      </c>
      <c r="J57" s="334">
        <v>826</v>
      </c>
      <c r="K57" s="334">
        <v>1099</v>
      </c>
      <c r="L57" s="334">
        <v>1246</v>
      </c>
      <c r="M57" s="334">
        <v>1433</v>
      </c>
      <c r="N57" s="334">
        <v>1620</v>
      </c>
      <c r="O57" s="338" t="s">
        <v>242</v>
      </c>
      <c r="P57" s="334">
        <v>562</v>
      </c>
      <c r="Q57" s="334">
        <v>628</v>
      </c>
      <c r="R57" s="334">
        <v>826</v>
      </c>
      <c r="S57" s="334">
        <v>1081</v>
      </c>
      <c r="T57" s="334">
        <v>1207</v>
      </c>
      <c r="U57" s="334">
        <v>1331</v>
      </c>
      <c r="V57" s="334">
        <v>1456</v>
      </c>
    </row>
    <row r="58" spans="6:22">
      <c r="F58" s="268" t="s">
        <v>306</v>
      </c>
      <c r="G58" s="336" t="s">
        <v>241</v>
      </c>
      <c r="H58" s="334">
        <v>684</v>
      </c>
      <c r="I58" s="334">
        <v>773</v>
      </c>
      <c r="J58" s="334">
        <v>980</v>
      </c>
      <c r="K58" s="334">
        <v>1372</v>
      </c>
      <c r="L58" s="334">
        <v>1546</v>
      </c>
      <c r="M58" s="334">
        <v>1778</v>
      </c>
      <c r="N58" s="334">
        <v>2010</v>
      </c>
      <c r="O58" s="338" t="s">
        <v>242</v>
      </c>
      <c r="P58" s="334">
        <v>684</v>
      </c>
      <c r="Q58" s="334">
        <v>773</v>
      </c>
      <c r="R58" s="334">
        <v>980</v>
      </c>
      <c r="S58" s="334">
        <v>1246</v>
      </c>
      <c r="T58" s="334">
        <v>1391</v>
      </c>
      <c r="U58" s="334">
        <v>1535</v>
      </c>
      <c r="V58" s="334">
        <v>1678</v>
      </c>
    </row>
    <row r="59" spans="6:22">
      <c r="F59" s="268" t="s">
        <v>307</v>
      </c>
      <c r="G59" s="336" t="s">
        <v>241</v>
      </c>
      <c r="H59" s="334">
        <v>648</v>
      </c>
      <c r="I59" s="334">
        <v>653</v>
      </c>
      <c r="J59" s="334">
        <v>859</v>
      </c>
      <c r="K59" s="334">
        <v>1221</v>
      </c>
      <c r="L59" s="334">
        <v>1375</v>
      </c>
      <c r="M59" s="334">
        <v>1581</v>
      </c>
      <c r="N59" s="334">
        <v>1788</v>
      </c>
      <c r="O59" s="338" t="s">
        <v>242</v>
      </c>
      <c r="P59" s="334">
        <v>648</v>
      </c>
      <c r="Q59" s="334">
        <v>653</v>
      </c>
      <c r="R59" s="334">
        <v>859</v>
      </c>
      <c r="S59" s="334">
        <v>1146</v>
      </c>
      <c r="T59" s="334">
        <v>1280</v>
      </c>
      <c r="U59" s="334">
        <v>1411</v>
      </c>
      <c r="V59" s="334">
        <v>1543</v>
      </c>
    </row>
    <row r="60" spans="6:22">
      <c r="F60" s="268" t="s">
        <v>308</v>
      </c>
      <c r="G60" s="336" t="s">
        <v>241</v>
      </c>
      <c r="H60" s="334">
        <v>684</v>
      </c>
      <c r="I60" s="334">
        <v>773</v>
      </c>
      <c r="J60" s="334">
        <v>980</v>
      </c>
      <c r="K60" s="334">
        <v>1372</v>
      </c>
      <c r="L60" s="334">
        <v>1546</v>
      </c>
      <c r="M60" s="334">
        <v>1778</v>
      </c>
      <c r="N60" s="334">
        <v>2010</v>
      </c>
      <c r="O60" s="338" t="s">
        <v>242</v>
      </c>
      <c r="P60" s="334">
        <v>684</v>
      </c>
      <c r="Q60" s="334">
        <v>773</v>
      </c>
      <c r="R60" s="334">
        <v>980</v>
      </c>
      <c r="S60" s="334">
        <v>1246</v>
      </c>
      <c r="T60" s="334">
        <v>1391</v>
      </c>
      <c r="U60" s="334">
        <v>1535</v>
      </c>
      <c r="V60" s="334">
        <v>1678</v>
      </c>
    </row>
    <row r="61" spans="6:22">
      <c r="F61" s="268" t="s">
        <v>309</v>
      </c>
      <c r="G61" s="336" t="s">
        <v>241</v>
      </c>
      <c r="H61" s="334">
        <v>562</v>
      </c>
      <c r="I61" s="334">
        <v>628</v>
      </c>
      <c r="J61" s="334">
        <v>826</v>
      </c>
      <c r="K61" s="334">
        <v>1059</v>
      </c>
      <c r="L61" s="334">
        <v>1122</v>
      </c>
      <c r="M61" s="334">
        <v>1290</v>
      </c>
      <c r="N61" s="334">
        <v>1459</v>
      </c>
      <c r="O61" s="338" t="s">
        <v>242</v>
      </c>
      <c r="P61" s="334">
        <v>562</v>
      </c>
      <c r="Q61" s="334">
        <v>628</v>
      </c>
      <c r="R61" s="334">
        <v>826</v>
      </c>
      <c r="S61" s="334">
        <v>1059</v>
      </c>
      <c r="T61" s="334">
        <v>1122</v>
      </c>
      <c r="U61" s="334">
        <v>1290</v>
      </c>
      <c r="V61" s="334">
        <v>1459</v>
      </c>
    </row>
    <row r="62" spans="6:22">
      <c r="F62" s="268" t="s">
        <v>310</v>
      </c>
      <c r="G62" s="336" t="s">
        <v>241</v>
      </c>
      <c r="H62" s="334">
        <v>570</v>
      </c>
      <c r="I62" s="334">
        <v>637</v>
      </c>
      <c r="J62" s="334">
        <v>838</v>
      </c>
      <c r="K62" s="334">
        <v>1075</v>
      </c>
      <c r="L62" s="334">
        <v>1138</v>
      </c>
      <c r="M62" s="334">
        <v>1309</v>
      </c>
      <c r="N62" s="334">
        <v>1479</v>
      </c>
      <c r="O62" s="338" t="s">
        <v>242</v>
      </c>
      <c r="P62" s="334">
        <v>570</v>
      </c>
      <c r="Q62" s="334">
        <v>637</v>
      </c>
      <c r="R62" s="334">
        <v>838</v>
      </c>
      <c r="S62" s="334">
        <v>1075</v>
      </c>
      <c r="T62" s="334">
        <v>1138</v>
      </c>
      <c r="U62" s="334">
        <v>1309</v>
      </c>
      <c r="V62" s="334">
        <v>1473</v>
      </c>
    </row>
    <row r="63" spans="6:22">
      <c r="F63" s="268" t="s">
        <v>311</v>
      </c>
      <c r="G63" s="336" t="s">
        <v>241</v>
      </c>
      <c r="H63" s="334">
        <v>592</v>
      </c>
      <c r="I63" s="334">
        <v>672</v>
      </c>
      <c r="J63" s="334">
        <v>885</v>
      </c>
      <c r="K63" s="334">
        <v>1203</v>
      </c>
      <c r="L63" s="334">
        <v>1256</v>
      </c>
      <c r="M63" s="334">
        <v>1444</v>
      </c>
      <c r="N63" s="334">
        <v>1633</v>
      </c>
      <c r="O63" s="338" t="s">
        <v>242</v>
      </c>
      <c r="P63" s="334">
        <v>592</v>
      </c>
      <c r="Q63" s="334">
        <v>672</v>
      </c>
      <c r="R63" s="334">
        <v>885</v>
      </c>
      <c r="S63" s="334">
        <v>1105</v>
      </c>
      <c r="T63" s="334">
        <v>1232</v>
      </c>
      <c r="U63" s="334">
        <v>1360</v>
      </c>
      <c r="V63" s="334">
        <v>1487</v>
      </c>
    </row>
    <row r="64" spans="6:22">
      <c r="F64" s="268" t="s">
        <v>312</v>
      </c>
      <c r="G64" s="336" t="s">
        <v>241</v>
      </c>
      <c r="H64" s="334">
        <v>570</v>
      </c>
      <c r="I64" s="334">
        <v>637</v>
      </c>
      <c r="J64" s="334">
        <v>838</v>
      </c>
      <c r="K64" s="334">
        <v>1075</v>
      </c>
      <c r="L64" s="334">
        <v>1138</v>
      </c>
      <c r="M64" s="334">
        <v>1309</v>
      </c>
      <c r="N64" s="334">
        <v>1479</v>
      </c>
      <c r="O64" s="338" t="s">
        <v>242</v>
      </c>
      <c r="P64" s="334">
        <v>570</v>
      </c>
      <c r="Q64" s="334">
        <v>637</v>
      </c>
      <c r="R64" s="334">
        <v>838</v>
      </c>
      <c r="S64" s="334">
        <v>1075</v>
      </c>
      <c r="T64" s="334">
        <v>1138</v>
      </c>
      <c r="U64" s="334">
        <v>1309</v>
      </c>
      <c r="V64" s="334">
        <v>1479</v>
      </c>
    </row>
    <row r="65" spans="6:22">
      <c r="F65" s="268" t="s">
        <v>313</v>
      </c>
      <c r="G65" s="336" t="s">
        <v>241</v>
      </c>
      <c r="H65" s="334">
        <v>576</v>
      </c>
      <c r="I65" s="334">
        <v>628</v>
      </c>
      <c r="J65" s="334">
        <v>826</v>
      </c>
      <c r="K65" s="334">
        <v>1126</v>
      </c>
      <c r="L65" s="334">
        <v>1143</v>
      </c>
      <c r="M65" s="334">
        <v>1314</v>
      </c>
      <c r="N65" s="334">
        <v>1486</v>
      </c>
      <c r="O65" s="338" t="s">
        <v>242</v>
      </c>
      <c r="P65" s="334">
        <v>576</v>
      </c>
      <c r="Q65" s="334">
        <v>628</v>
      </c>
      <c r="R65" s="334">
        <v>826</v>
      </c>
      <c r="S65" s="334">
        <v>1113</v>
      </c>
      <c r="T65" s="334">
        <v>1143</v>
      </c>
      <c r="U65" s="334">
        <v>1314</v>
      </c>
      <c r="V65" s="334">
        <v>1486</v>
      </c>
    </row>
    <row r="66" spans="6:22">
      <c r="F66" s="268" t="s">
        <v>314</v>
      </c>
      <c r="G66" s="336" t="s">
        <v>241</v>
      </c>
      <c r="H66" s="334">
        <v>576</v>
      </c>
      <c r="I66" s="334">
        <v>628</v>
      </c>
      <c r="J66" s="334">
        <v>826</v>
      </c>
      <c r="K66" s="334">
        <v>1126</v>
      </c>
      <c r="L66" s="334">
        <v>1143</v>
      </c>
      <c r="M66" s="334">
        <v>1314</v>
      </c>
      <c r="N66" s="334">
        <v>1486</v>
      </c>
      <c r="O66" s="338" t="s">
        <v>242</v>
      </c>
      <c r="P66" s="334">
        <v>576</v>
      </c>
      <c r="Q66" s="334">
        <v>628</v>
      </c>
      <c r="R66" s="334">
        <v>826</v>
      </c>
      <c r="S66" s="334">
        <v>1113</v>
      </c>
      <c r="T66" s="334">
        <v>1143</v>
      </c>
      <c r="U66" s="334">
        <v>1314</v>
      </c>
      <c r="V66" s="334">
        <v>1486</v>
      </c>
    </row>
    <row r="67" spans="6:22">
      <c r="F67" s="268" t="s">
        <v>315</v>
      </c>
      <c r="G67" s="336" t="s">
        <v>241</v>
      </c>
      <c r="H67" s="334">
        <v>592</v>
      </c>
      <c r="I67" s="334">
        <v>662</v>
      </c>
      <c r="J67" s="334">
        <v>870</v>
      </c>
      <c r="K67" s="334">
        <v>1059</v>
      </c>
      <c r="L67" s="334">
        <v>1182</v>
      </c>
      <c r="M67" s="334">
        <v>1359</v>
      </c>
      <c r="N67" s="334">
        <v>1537</v>
      </c>
      <c r="O67" s="338" t="s">
        <v>242</v>
      </c>
      <c r="P67" s="334">
        <v>592</v>
      </c>
      <c r="Q67" s="334">
        <v>662</v>
      </c>
      <c r="R67" s="334">
        <v>870</v>
      </c>
      <c r="S67" s="334">
        <v>1059</v>
      </c>
      <c r="T67" s="334">
        <v>1182</v>
      </c>
      <c r="U67" s="334">
        <v>1331</v>
      </c>
      <c r="V67" s="334">
        <v>1456</v>
      </c>
    </row>
    <row r="68" spans="6:22">
      <c r="F68" s="268" t="s">
        <v>316</v>
      </c>
      <c r="G68" s="336" t="s">
        <v>241</v>
      </c>
      <c r="H68" s="334">
        <v>562</v>
      </c>
      <c r="I68" s="334">
        <v>628</v>
      </c>
      <c r="J68" s="334">
        <v>826</v>
      </c>
      <c r="K68" s="334">
        <v>1059</v>
      </c>
      <c r="L68" s="334">
        <v>1122</v>
      </c>
      <c r="M68" s="334">
        <v>1290</v>
      </c>
      <c r="N68" s="334">
        <v>1459</v>
      </c>
      <c r="O68" s="338" t="s">
        <v>242</v>
      </c>
      <c r="P68" s="334">
        <v>562</v>
      </c>
      <c r="Q68" s="334">
        <v>628</v>
      </c>
      <c r="R68" s="334">
        <v>826</v>
      </c>
      <c r="S68" s="334">
        <v>1059</v>
      </c>
      <c r="T68" s="334">
        <v>1122</v>
      </c>
      <c r="U68" s="334">
        <v>1290</v>
      </c>
      <c r="V68" s="334">
        <v>1456</v>
      </c>
    </row>
    <row r="69" spans="6:22">
      <c r="F69" s="268" t="s">
        <v>317</v>
      </c>
      <c r="G69" s="336" t="s">
        <v>241</v>
      </c>
      <c r="H69" s="334">
        <v>562</v>
      </c>
      <c r="I69" s="334">
        <v>635</v>
      </c>
      <c r="J69" s="334">
        <v>826</v>
      </c>
      <c r="K69" s="334">
        <v>1117</v>
      </c>
      <c r="L69" s="334">
        <v>1121</v>
      </c>
      <c r="M69" s="334">
        <v>1289</v>
      </c>
      <c r="N69" s="334">
        <v>1457</v>
      </c>
      <c r="O69" s="338" t="s">
        <v>242</v>
      </c>
      <c r="P69" s="334">
        <v>562</v>
      </c>
      <c r="Q69" s="334">
        <v>635</v>
      </c>
      <c r="R69" s="334">
        <v>826</v>
      </c>
      <c r="S69" s="334">
        <v>1102</v>
      </c>
      <c r="T69" s="334">
        <v>1121</v>
      </c>
      <c r="U69" s="334">
        <v>1289</v>
      </c>
      <c r="V69" s="334">
        <v>1457</v>
      </c>
    </row>
    <row r="70" spans="6:22">
      <c r="F70" s="268" t="s">
        <v>318</v>
      </c>
      <c r="G70" s="336" t="s">
        <v>241</v>
      </c>
      <c r="H70" s="334">
        <v>562</v>
      </c>
      <c r="I70" s="334">
        <v>642</v>
      </c>
      <c r="J70" s="334">
        <v>826</v>
      </c>
      <c r="K70" s="334">
        <v>1118</v>
      </c>
      <c r="L70" s="334">
        <v>1122</v>
      </c>
      <c r="M70" s="334">
        <v>1290</v>
      </c>
      <c r="N70" s="334">
        <v>1459</v>
      </c>
      <c r="O70" s="338" t="s">
        <v>242</v>
      </c>
      <c r="P70" s="334">
        <v>562</v>
      </c>
      <c r="Q70" s="334">
        <v>642</v>
      </c>
      <c r="R70" s="334">
        <v>826</v>
      </c>
      <c r="S70" s="334">
        <v>1081</v>
      </c>
      <c r="T70" s="334">
        <v>1122</v>
      </c>
      <c r="U70" s="334">
        <v>1290</v>
      </c>
      <c r="V70" s="334">
        <v>1456</v>
      </c>
    </row>
    <row r="71" spans="6:22">
      <c r="F71" s="268" t="s">
        <v>319</v>
      </c>
      <c r="G71" s="336" t="s">
        <v>241</v>
      </c>
      <c r="H71" s="334">
        <v>801</v>
      </c>
      <c r="I71" s="334">
        <v>888</v>
      </c>
      <c r="J71" s="334">
        <v>1083</v>
      </c>
      <c r="K71" s="334">
        <v>1449</v>
      </c>
      <c r="L71" s="334">
        <v>1611</v>
      </c>
      <c r="M71" s="334">
        <v>1853</v>
      </c>
      <c r="N71" s="334">
        <v>2094</v>
      </c>
      <c r="O71" s="338" t="s">
        <v>242</v>
      </c>
      <c r="P71" s="334">
        <v>801</v>
      </c>
      <c r="Q71" s="334">
        <v>888</v>
      </c>
      <c r="R71" s="334">
        <v>1083</v>
      </c>
      <c r="S71" s="334">
        <v>1309</v>
      </c>
      <c r="T71" s="334">
        <v>1461</v>
      </c>
      <c r="U71" s="334">
        <v>1611</v>
      </c>
      <c r="V71" s="334">
        <v>1762</v>
      </c>
    </row>
    <row r="72" spans="6:22">
      <c r="F72" s="268" t="s">
        <v>320</v>
      </c>
      <c r="G72" s="336" t="s">
        <v>241</v>
      </c>
      <c r="H72" s="334">
        <v>563</v>
      </c>
      <c r="I72" s="334">
        <v>645</v>
      </c>
      <c r="J72" s="334">
        <v>828</v>
      </c>
      <c r="K72" s="334">
        <v>1036</v>
      </c>
      <c r="L72" s="334">
        <v>1125</v>
      </c>
      <c r="M72" s="334">
        <v>1294</v>
      </c>
      <c r="N72" s="334">
        <v>1463</v>
      </c>
      <c r="O72" s="338" t="s">
        <v>242</v>
      </c>
      <c r="P72" s="334">
        <v>563</v>
      </c>
      <c r="Q72" s="334">
        <v>645</v>
      </c>
      <c r="R72" s="334">
        <v>828</v>
      </c>
      <c r="S72" s="334">
        <v>1036</v>
      </c>
      <c r="T72" s="334">
        <v>1125</v>
      </c>
      <c r="U72" s="334">
        <v>1294</v>
      </c>
      <c r="V72" s="334">
        <v>1463</v>
      </c>
    </row>
    <row r="73" spans="6:22">
      <c r="F73" s="268" t="s">
        <v>321</v>
      </c>
      <c r="G73" s="336" t="s">
        <v>241</v>
      </c>
      <c r="H73" s="334">
        <v>562</v>
      </c>
      <c r="I73" s="334">
        <v>628</v>
      </c>
      <c r="J73" s="334">
        <v>826</v>
      </c>
      <c r="K73" s="334">
        <v>1118</v>
      </c>
      <c r="L73" s="334">
        <v>1122</v>
      </c>
      <c r="M73" s="334">
        <v>1290</v>
      </c>
      <c r="N73" s="334">
        <v>1459</v>
      </c>
      <c r="O73" s="338" t="s">
        <v>242</v>
      </c>
      <c r="P73" s="334">
        <v>562</v>
      </c>
      <c r="Q73" s="334">
        <v>628</v>
      </c>
      <c r="R73" s="334">
        <v>826</v>
      </c>
      <c r="S73" s="334">
        <v>1081</v>
      </c>
      <c r="T73" s="334">
        <v>1122</v>
      </c>
      <c r="U73" s="334">
        <v>1290</v>
      </c>
      <c r="V73" s="334">
        <v>1456</v>
      </c>
    </row>
    <row r="74" spans="6:22">
      <c r="F74" s="268" t="s">
        <v>322</v>
      </c>
      <c r="G74" s="336" t="s">
        <v>241</v>
      </c>
      <c r="H74" s="334">
        <v>562</v>
      </c>
      <c r="I74" s="334">
        <v>731</v>
      </c>
      <c r="J74" s="334">
        <v>826</v>
      </c>
      <c r="K74" s="334">
        <v>1100</v>
      </c>
      <c r="L74" s="334">
        <v>1167</v>
      </c>
      <c r="M74" s="334">
        <v>1342</v>
      </c>
      <c r="N74" s="334">
        <v>1517</v>
      </c>
      <c r="O74" s="338" t="s">
        <v>242</v>
      </c>
      <c r="P74" s="334">
        <v>562</v>
      </c>
      <c r="Q74" s="334">
        <v>731</v>
      </c>
      <c r="R74" s="334">
        <v>826</v>
      </c>
      <c r="S74" s="334">
        <v>1100</v>
      </c>
      <c r="T74" s="334">
        <v>1167</v>
      </c>
      <c r="U74" s="334">
        <v>1342</v>
      </c>
      <c r="V74" s="334">
        <v>1517</v>
      </c>
    </row>
    <row r="75" spans="6:22">
      <c r="F75" s="268" t="s">
        <v>323</v>
      </c>
      <c r="G75" s="336" t="s">
        <v>241</v>
      </c>
      <c r="H75" s="334">
        <v>562</v>
      </c>
      <c r="I75" s="334">
        <v>731</v>
      </c>
      <c r="J75" s="334">
        <v>826</v>
      </c>
      <c r="K75" s="334">
        <v>1174</v>
      </c>
      <c r="L75" s="334">
        <v>1319</v>
      </c>
      <c r="M75" s="334">
        <v>1517</v>
      </c>
      <c r="N75" s="334">
        <v>1715</v>
      </c>
      <c r="O75" s="338" t="s">
        <v>242</v>
      </c>
      <c r="P75" s="334">
        <v>562</v>
      </c>
      <c r="Q75" s="334">
        <v>731</v>
      </c>
      <c r="R75" s="334">
        <v>826</v>
      </c>
      <c r="S75" s="334">
        <v>1165</v>
      </c>
      <c r="T75" s="334">
        <v>1300</v>
      </c>
      <c r="U75" s="334">
        <v>1434</v>
      </c>
      <c r="V75" s="334">
        <v>1568</v>
      </c>
    </row>
    <row r="76" spans="6:22">
      <c r="F76" s="268" t="s">
        <v>324</v>
      </c>
      <c r="G76" s="336" t="s">
        <v>241</v>
      </c>
      <c r="H76" s="334">
        <v>562</v>
      </c>
      <c r="I76" s="334">
        <v>724</v>
      </c>
      <c r="J76" s="334">
        <v>826</v>
      </c>
      <c r="K76" s="334">
        <v>1102</v>
      </c>
      <c r="L76" s="334">
        <v>1241</v>
      </c>
      <c r="M76" s="334">
        <v>1427</v>
      </c>
      <c r="N76" s="334">
        <v>1613</v>
      </c>
      <c r="O76" s="338" t="s">
        <v>242</v>
      </c>
      <c r="P76" s="334">
        <v>562</v>
      </c>
      <c r="Q76" s="334">
        <v>724</v>
      </c>
      <c r="R76" s="334">
        <v>826</v>
      </c>
      <c r="S76" s="334">
        <v>1102</v>
      </c>
      <c r="T76" s="334">
        <v>1241</v>
      </c>
      <c r="U76" s="334">
        <v>1406</v>
      </c>
      <c r="V76" s="334">
        <v>1538</v>
      </c>
    </row>
    <row r="77" spans="6:22">
      <c r="F77" s="268" t="s">
        <v>325</v>
      </c>
      <c r="G77" s="336" t="s">
        <v>241</v>
      </c>
      <c r="H77" s="334">
        <v>610</v>
      </c>
      <c r="I77" s="334">
        <v>726</v>
      </c>
      <c r="J77" s="334">
        <v>897</v>
      </c>
      <c r="K77" s="334">
        <v>1201</v>
      </c>
      <c r="L77" s="334">
        <v>1205</v>
      </c>
      <c r="M77" s="334">
        <v>1386</v>
      </c>
      <c r="N77" s="334">
        <v>1567</v>
      </c>
      <c r="O77" s="338" t="s">
        <v>242</v>
      </c>
      <c r="P77" s="334">
        <v>610</v>
      </c>
      <c r="Q77" s="334">
        <v>726</v>
      </c>
      <c r="R77" s="334">
        <v>897</v>
      </c>
      <c r="S77" s="334">
        <v>1162</v>
      </c>
      <c r="T77" s="334">
        <v>1205</v>
      </c>
      <c r="U77" s="334">
        <v>1386</v>
      </c>
      <c r="V77" s="334">
        <v>1564</v>
      </c>
    </row>
    <row r="78" spans="6:22">
      <c r="F78" s="268" t="s">
        <v>326</v>
      </c>
      <c r="G78" s="336" t="s">
        <v>241</v>
      </c>
      <c r="H78" s="334">
        <v>562</v>
      </c>
      <c r="I78" s="334">
        <v>628</v>
      </c>
      <c r="J78" s="334">
        <v>826</v>
      </c>
      <c r="K78" s="334">
        <v>1017</v>
      </c>
      <c r="L78" s="334">
        <v>1110</v>
      </c>
      <c r="M78" s="334">
        <v>1277</v>
      </c>
      <c r="N78" s="334">
        <v>1443</v>
      </c>
      <c r="O78" s="338" t="s">
        <v>242</v>
      </c>
      <c r="P78" s="334">
        <v>562</v>
      </c>
      <c r="Q78" s="334">
        <v>628</v>
      </c>
      <c r="R78" s="334">
        <v>826</v>
      </c>
      <c r="S78" s="334">
        <v>1017</v>
      </c>
      <c r="T78" s="334">
        <v>1110</v>
      </c>
      <c r="U78" s="334">
        <v>1277</v>
      </c>
      <c r="V78" s="334">
        <v>1443</v>
      </c>
    </row>
    <row r="79" spans="6:22">
      <c r="F79" s="268" t="s">
        <v>327</v>
      </c>
      <c r="G79" s="336" t="s">
        <v>241</v>
      </c>
      <c r="H79" s="334">
        <v>562</v>
      </c>
      <c r="I79" s="334">
        <v>669</v>
      </c>
      <c r="J79" s="334">
        <v>826</v>
      </c>
      <c r="K79" s="334">
        <v>1005</v>
      </c>
      <c r="L79" s="334">
        <v>1110</v>
      </c>
      <c r="M79" s="334">
        <v>1277</v>
      </c>
      <c r="N79" s="334">
        <v>1443</v>
      </c>
      <c r="O79" s="338" t="s">
        <v>242</v>
      </c>
      <c r="P79" s="334">
        <v>562</v>
      </c>
      <c r="Q79" s="334">
        <v>669</v>
      </c>
      <c r="R79" s="334">
        <v>826</v>
      </c>
      <c r="S79" s="334">
        <v>1005</v>
      </c>
      <c r="T79" s="334">
        <v>1110</v>
      </c>
      <c r="U79" s="334">
        <v>1277</v>
      </c>
      <c r="V79" s="334">
        <v>1443</v>
      </c>
    </row>
    <row r="80" spans="6:22">
      <c r="F80" s="268" t="s">
        <v>328</v>
      </c>
      <c r="G80" s="336" t="s">
        <v>241</v>
      </c>
      <c r="H80" s="334">
        <v>562</v>
      </c>
      <c r="I80" s="334">
        <v>628</v>
      </c>
      <c r="J80" s="334">
        <v>826</v>
      </c>
      <c r="K80" s="334">
        <v>1005</v>
      </c>
      <c r="L80" s="334">
        <v>1110</v>
      </c>
      <c r="M80" s="334">
        <v>1277</v>
      </c>
      <c r="N80" s="334">
        <v>1443</v>
      </c>
      <c r="O80" s="338" t="s">
        <v>242</v>
      </c>
      <c r="P80" s="334">
        <v>562</v>
      </c>
      <c r="Q80" s="334">
        <v>628</v>
      </c>
      <c r="R80" s="334">
        <v>826</v>
      </c>
      <c r="S80" s="334">
        <v>1005</v>
      </c>
      <c r="T80" s="334">
        <v>1110</v>
      </c>
      <c r="U80" s="334">
        <v>1277</v>
      </c>
      <c r="V80" s="334">
        <v>1443</v>
      </c>
    </row>
    <row r="81" spans="6:22">
      <c r="F81" s="268" t="s">
        <v>329</v>
      </c>
      <c r="G81" s="336" t="s">
        <v>241</v>
      </c>
      <c r="H81" s="334">
        <v>562</v>
      </c>
      <c r="I81" s="334">
        <v>628</v>
      </c>
      <c r="J81" s="334">
        <v>826</v>
      </c>
      <c r="K81" s="334">
        <v>1118</v>
      </c>
      <c r="L81" s="334">
        <v>1122</v>
      </c>
      <c r="M81" s="334">
        <v>1290</v>
      </c>
      <c r="N81" s="334">
        <v>1459</v>
      </c>
      <c r="O81" s="338" t="s">
        <v>242</v>
      </c>
      <c r="P81" s="334">
        <v>562</v>
      </c>
      <c r="Q81" s="334">
        <v>628</v>
      </c>
      <c r="R81" s="334">
        <v>826</v>
      </c>
      <c r="S81" s="334">
        <v>1081</v>
      </c>
      <c r="T81" s="334">
        <v>1122</v>
      </c>
      <c r="U81" s="334">
        <v>1290</v>
      </c>
      <c r="V81" s="334">
        <v>1456</v>
      </c>
    </row>
    <row r="82" spans="6:22">
      <c r="F82" s="268" t="s">
        <v>330</v>
      </c>
      <c r="G82" s="336" t="s">
        <v>241</v>
      </c>
      <c r="H82" s="334">
        <v>562</v>
      </c>
      <c r="I82" s="334">
        <v>664</v>
      </c>
      <c r="J82" s="334">
        <v>827</v>
      </c>
      <c r="K82" s="334">
        <v>1175</v>
      </c>
      <c r="L82" s="334">
        <v>1309</v>
      </c>
      <c r="M82" s="334">
        <v>1505</v>
      </c>
      <c r="N82" s="334">
        <v>1702</v>
      </c>
      <c r="O82" s="338" t="s">
        <v>242</v>
      </c>
      <c r="P82" s="334">
        <v>562</v>
      </c>
      <c r="Q82" s="334">
        <v>664</v>
      </c>
      <c r="R82" s="334">
        <v>827</v>
      </c>
      <c r="S82" s="334">
        <v>1081</v>
      </c>
      <c r="T82" s="334">
        <v>1207</v>
      </c>
      <c r="U82" s="334">
        <v>1331</v>
      </c>
      <c r="V82" s="334">
        <v>1456</v>
      </c>
    </row>
    <row r="83" spans="6:22">
      <c r="F83" s="268" t="s">
        <v>331</v>
      </c>
      <c r="G83" s="336" t="s">
        <v>241</v>
      </c>
      <c r="H83" s="334">
        <v>801</v>
      </c>
      <c r="I83" s="334">
        <v>888</v>
      </c>
      <c r="J83" s="334">
        <v>1083</v>
      </c>
      <c r="K83" s="334">
        <v>1449</v>
      </c>
      <c r="L83" s="334">
        <v>1611</v>
      </c>
      <c r="M83" s="334">
        <v>1853</v>
      </c>
      <c r="N83" s="334">
        <v>2094</v>
      </c>
      <c r="O83" s="338" t="s">
        <v>242</v>
      </c>
      <c r="P83" s="334">
        <v>801</v>
      </c>
      <c r="Q83" s="334">
        <v>888</v>
      </c>
      <c r="R83" s="334">
        <v>1083</v>
      </c>
      <c r="S83" s="334">
        <v>1309</v>
      </c>
      <c r="T83" s="334">
        <v>1461</v>
      </c>
      <c r="U83" s="334">
        <v>1611</v>
      </c>
      <c r="V83" s="334">
        <v>1762</v>
      </c>
    </row>
    <row r="84" spans="6:22">
      <c r="F84" s="268" t="s">
        <v>332</v>
      </c>
      <c r="G84" s="336" t="s">
        <v>241</v>
      </c>
      <c r="H84" s="334">
        <v>637</v>
      </c>
      <c r="I84" s="334">
        <v>688</v>
      </c>
      <c r="J84" s="334">
        <v>860</v>
      </c>
      <c r="K84" s="334">
        <v>1047</v>
      </c>
      <c r="L84" s="334">
        <v>1309</v>
      </c>
      <c r="M84" s="334">
        <v>1505</v>
      </c>
      <c r="N84" s="334">
        <v>1702</v>
      </c>
      <c r="O84" s="338" t="s">
        <v>242</v>
      </c>
      <c r="P84" s="334">
        <v>637</v>
      </c>
      <c r="Q84" s="334">
        <v>688</v>
      </c>
      <c r="R84" s="334">
        <v>860</v>
      </c>
      <c r="S84" s="334">
        <v>1047</v>
      </c>
      <c r="T84" s="334">
        <v>1309</v>
      </c>
      <c r="U84" s="334">
        <v>1505</v>
      </c>
      <c r="V84" s="334">
        <v>1702</v>
      </c>
    </row>
    <row r="85" spans="6:22">
      <c r="F85" s="268" t="s">
        <v>333</v>
      </c>
      <c r="G85" s="336" t="s">
        <v>241</v>
      </c>
      <c r="H85" s="334">
        <v>637</v>
      </c>
      <c r="I85" s="334">
        <v>688</v>
      </c>
      <c r="J85" s="334">
        <v>860</v>
      </c>
      <c r="K85" s="334">
        <v>1047</v>
      </c>
      <c r="L85" s="334">
        <v>1309</v>
      </c>
      <c r="M85" s="334">
        <v>1505</v>
      </c>
      <c r="N85" s="334">
        <v>1702</v>
      </c>
      <c r="O85" s="338" t="s">
        <v>242</v>
      </c>
      <c r="P85" s="334">
        <v>637</v>
      </c>
      <c r="Q85" s="334">
        <v>688</v>
      </c>
      <c r="R85" s="334">
        <v>860</v>
      </c>
      <c r="S85" s="334">
        <v>1047</v>
      </c>
      <c r="T85" s="334">
        <v>1309</v>
      </c>
      <c r="U85" s="334">
        <v>1505</v>
      </c>
      <c r="V85" s="334">
        <v>1702</v>
      </c>
    </row>
    <row r="86" spans="6:22">
      <c r="F86" s="268" t="s">
        <v>334</v>
      </c>
      <c r="G86" s="336" t="s">
        <v>241</v>
      </c>
      <c r="H86" s="334">
        <v>693</v>
      </c>
      <c r="I86" s="334">
        <v>698</v>
      </c>
      <c r="J86" s="334">
        <v>877</v>
      </c>
      <c r="K86" s="334">
        <v>1246</v>
      </c>
      <c r="L86" s="334">
        <v>1490</v>
      </c>
      <c r="M86" s="334">
        <v>1650</v>
      </c>
      <c r="N86" s="334">
        <v>1788</v>
      </c>
      <c r="O86" s="338" t="s">
        <v>242</v>
      </c>
      <c r="P86" s="334">
        <v>693</v>
      </c>
      <c r="Q86" s="334">
        <v>698</v>
      </c>
      <c r="R86" s="334">
        <v>877</v>
      </c>
      <c r="S86" s="334">
        <v>1081</v>
      </c>
      <c r="T86" s="334">
        <v>1207</v>
      </c>
      <c r="U86" s="334">
        <v>1331</v>
      </c>
      <c r="V86" s="334">
        <v>1456</v>
      </c>
    </row>
    <row r="87" spans="6:22">
      <c r="F87" s="268" t="s">
        <v>335</v>
      </c>
      <c r="G87" s="336" t="s">
        <v>241</v>
      </c>
      <c r="H87" s="334">
        <v>580</v>
      </c>
      <c r="I87" s="334">
        <v>638</v>
      </c>
      <c r="J87" s="334">
        <v>827</v>
      </c>
      <c r="K87" s="334">
        <v>1145</v>
      </c>
      <c r="L87" s="334">
        <v>1409</v>
      </c>
      <c r="M87" s="334">
        <v>1620</v>
      </c>
      <c r="N87" s="334">
        <v>1832</v>
      </c>
      <c r="O87" s="338" t="s">
        <v>242</v>
      </c>
      <c r="P87" s="334">
        <v>580</v>
      </c>
      <c r="Q87" s="334">
        <v>638</v>
      </c>
      <c r="R87" s="334">
        <v>827</v>
      </c>
      <c r="S87" s="334">
        <v>1145</v>
      </c>
      <c r="T87" s="334">
        <v>1409</v>
      </c>
      <c r="U87" s="334">
        <v>1620</v>
      </c>
      <c r="V87" s="334">
        <v>1788</v>
      </c>
    </row>
    <row r="88" spans="6:22">
      <c r="F88" s="268" t="s">
        <v>336</v>
      </c>
      <c r="G88" s="336" t="s">
        <v>241</v>
      </c>
      <c r="H88" s="334">
        <v>580</v>
      </c>
      <c r="I88" s="334">
        <v>638</v>
      </c>
      <c r="J88" s="334">
        <v>827</v>
      </c>
      <c r="K88" s="334">
        <v>1145</v>
      </c>
      <c r="L88" s="334">
        <v>1409</v>
      </c>
      <c r="M88" s="334">
        <v>1620</v>
      </c>
      <c r="N88" s="334">
        <v>1832</v>
      </c>
      <c r="O88" s="338" t="s">
        <v>242</v>
      </c>
      <c r="P88" s="334">
        <v>580</v>
      </c>
      <c r="Q88" s="334">
        <v>638</v>
      </c>
      <c r="R88" s="334">
        <v>827</v>
      </c>
      <c r="S88" s="334">
        <v>1145</v>
      </c>
      <c r="T88" s="334">
        <v>1409</v>
      </c>
      <c r="U88" s="334">
        <v>1620</v>
      </c>
      <c r="V88" s="334">
        <v>1788</v>
      </c>
    </row>
    <row r="89" spans="6:22">
      <c r="F89" s="268" t="s">
        <v>337</v>
      </c>
      <c r="G89" s="336" t="s">
        <v>241</v>
      </c>
      <c r="H89" s="334">
        <v>562</v>
      </c>
      <c r="I89" s="334">
        <v>720</v>
      </c>
      <c r="J89" s="334">
        <v>826</v>
      </c>
      <c r="K89" s="334">
        <v>1022</v>
      </c>
      <c r="L89" s="334">
        <v>1156</v>
      </c>
      <c r="M89" s="334">
        <v>1329</v>
      </c>
      <c r="N89" s="334">
        <v>1503</v>
      </c>
      <c r="O89" s="338" t="s">
        <v>242</v>
      </c>
      <c r="P89" s="334">
        <v>562</v>
      </c>
      <c r="Q89" s="334">
        <v>720</v>
      </c>
      <c r="R89" s="334">
        <v>826</v>
      </c>
      <c r="S89" s="334">
        <v>1022</v>
      </c>
      <c r="T89" s="334">
        <v>1156</v>
      </c>
      <c r="U89" s="334">
        <v>1329</v>
      </c>
      <c r="V89" s="334">
        <v>1456</v>
      </c>
    </row>
    <row r="90" spans="6:22">
      <c r="F90" s="268" t="s">
        <v>338</v>
      </c>
      <c r="G90" s="336" t="s">
        <v>241</v>
      </c>
      <c r="H90" s="334">
        <v>562</v>
      </c>
      <c r="I90" s="334">
        <v>628</v>
      </c>
      <c r="J90" s="334">
        <v>826</v>
      </c>
      <c r="K90" s="334">
        <v>1105</v>
      </c>
      <c r="L90" s="334">
        <v>1110</v>
      </c>
      <c r="M90" s="334">
        <v>1277</v>
      </c>
      <c r="N90" s="334">
        <v>1443</v>
      </c>
      <c r="O90" s="338" t="s">
        <v>242</v>
      </c>
      <c r="P90" s="334">
        <v>562</v>
      </c>
      <c r="Q90" s="334">
        <v>628</v>
      </c>
      <c r="R90" s="334">
        <v>826</v>
      </c>
      <c r="S90" s="334">
        <v>1103</v>
      </c>
      <c r="T90" s="334">
        <v>1110</v>
      </c>
      <c r="U90" s="334">
        <v>1277</v>
      </c>
      <c r="V90" s="334">
        <v>1443</v>
      </c>
    </row>
    <row r="91" spans="6:22">
      <c r="F91" s="268" t="s">
        <v>339</v>
      </c>
      <c r="G91" s="336" t="s">
        <v>241</v>
      </c>
      <c r="H91" s="334">
        <v>620</v>
      </c>
      <c r="I91" s="334">
        <v>705</v>
      </c>
      <c r="J91" s="334">
        <v>928</v>
      </c>
      <c r="K91" s="334">
        <v>1139</v>
      </c>
      <c r="L91" s="334">
        <v>1247</v>
      </c>
      <c r="M91" s="334">
        <v>1434</v>
      </c>
      <c r="N91" s="334">
        <v>1621</v>
      </c>
      <c r="O91" s="338" t="s">
        <v>242</v>
      </c>
      <c r="P91" s="334">
        <v>620</v>
      </c>
      <c r="Q91" s="334">
        <v>705</v>
      </c>
      <c r="R91" s="334">
        <v>928</v>
      </c>
      <c r="S91" s="334">
        <v>1122</v>
      </c>
      <c r="T91" s="334">
        <v>1247</v>
      </c>
      <c r="U91" s="334">
        <v>1381</v>
      </c>
      <c r="V91" s="334">
        <v>1510</v>
      </c>
    </row>
    <row r="92" spans="6:22">
      <c r="F92" s="268" t="s">
        <v>340</v>
      </c>
      <c r="G92" s="336" t="s">
        <v>241</v>
      </c>
      <c r="H92" s="334">
        <v>562</v>
      </c>
      <c r="I92" s="334">
        <v>628</v>
      </c>
      <c r="J92" s="334">
        <v>826</v>
      </c>
      <c r="K92" s="334">
        <v>1059</v>
      </c>
      <c r="L92" s="334">
        <v>1167</v>
      </c>
      <c r="M92" s="334">
        <v>1342</v>
      </c>
      <c r="N92" s="334">
        <v>1517</v>
      </c>
      <c r="O92" s="338" t="s">
        <v>242</v>
      </c>
      <c r="P92" s="334">
        <v>562</v>
      </c>
      <c r="Q92" s="334">
        <v>628</v>
      </c>
      <c r="R92" s="334">
        <v>826</v>
      </c>
      <c r="S92" s="334">
        <v>1059</v>
      </c>
      <c r="T92" s="334">
        <v>1167</v>
      </c>
      <c r="U92" s="334">
        <v>1331</v>
      </c>
      <c r="V92" s="334">
        <v>1456</v>
      </c>
    </row>
    <row r="93" spans="6:22">
      <c r="F93" s="268" t="s">
        <v>341</v>
      </c>
      <c r="G93" s="336" t="s">
        <v>241</v>
      </c>
      <c r="H93" s="334">
        <v>759</v>
      </c>
      <c r="I93" s="334">
        <v>848</v>
      </c>
      <c r="J93" s="334">
        <v>1116</v>
      </c>
      <c r="K93" s="334">
        <v>1358</v>
      </c>
      <c r="L93" s="334">
        <v>1499</v>
      </c>
      <c r="M93" s="334">
        <v>1724</v>
      </c>
      <c r="N93" s="334">
        <v>1949</v>
      </c>
      <c r="O93" s="338" t="s">
        <v>242</v>
      </c>
      <c r="P93" s="334">
        <v>759</v>
      </c>
      <c r="Q93" s="334">
        <v>848</v>
      </c>
      <c r="R93" s="334">
        <v>1027</v>
      </c>
      <c r="S93" s="334">
        <v>1187</v>
      </c>
      <c r="T93" s="334">
        <v>1325</v>
      </c>
      <c r="U93" s="334">
        <v>1461</v>
      </c>
      <c r="V93" s="334">
        <v>1597</v>
      </c>
    </row>
    <row r="94" spans="6:22">
      <c r="F94" s="268" t="s">
        <v>342</v>
      </c>
      <c r="G94" s="336" t="s">
        <v>241</v>
      </c>
      <c r="H94" s="334">
        <v>562</v>
      </c>
      <c r="I94" s="334">
        <v>676</v>
      </c>
      <c r="J94" s="334">
        <v>826</v>
      </c>
      <c r="K94" s="334">
        <v>1071</v>
      </c>
      <c r="L94" s="334">
        <v>1117</v>
      </c>
      <c r="M94" s="334">
        <v>1285</v>
      </c>
      <c r="N94" s="334">
        <v>1452</v>
      </c>
      <c r="O94" s="338" t="s">
        <v>242</v>
      </c>
      <c r="P94" s="334">
        <v>562</v>
      </c>
      <c r="Q94" s="334">
        <v>676</v>
      </c>
      <c r="R94" s="334">
        <v>826</v>
      </c>
      <c r="S94" s="334">
        <v>1071</v>
      </c>
      <c r="T94" s="334">
        <v>1117</v>
      </c>
      <c r="U94" s="334">
        <v>1285</v>
      </c>
      <c r="V94" s="334">
        <v>1452</v>
      </c>
    </row>
    <row r="95" spans="6:22">
      <c r="F95" s="268" t="s">
        <v>343</v>
      </c>
      <c r="G95" s="336" t="s">
        <v>241</v>
      </c>
      <c r="H95" s="334">
        <v>562</v>
      </c>
      <c r="I95" s="334">
        <v>628</v>
      </c>
      <c r="J95" s="334">
        <v>826</v>
      </c>
      <c r="K95" s="334">
        <v>1059</v>
      </c>
      <c r="L95" s="334">
        <v>1122</v>
      </c>
      <c r="M95" s="334">
        <v>1290</v>
      </c>
      <c r="N95" s="334">
        <v>1459</v>
      </c>
      <c r="O95" s="338" t="s">
        <v>242</v>
      </c>
      <c r="P95" s="334">
        <v>562</v>
      </c>
      <c r="Q95" s="334">
        <v>628</v>
      </c>
      <c r="R95" s="334">
        <v>826</v>
      </c>
      <c r="S95" s="334">
        <v>1059</v>
      </c>
      <c r="T95" s="334">
        <v>1122</v>
      </c>
      <c r="U95" s="334">
        <v>1290</v>
      </c>
      <c r="V95" s="334">
        <v>1459</v>
      </c>
    </row>
    <row r="96" spans="6:22">
      <c r="F96" s="268" t="s">
        <v>344</v>
      </c>
      <c r="G96" s="336" t="s">
        <v>241</v>
      </c>
      <c r="H96" s="334">
        <v>562</v>
      </c>
      <c r="I96" s="334">
        <v>628</v>
      </c>
      <c r="J96" s="334">
        <v>826</v>
      </c>
      <c r="K96" s="334">
        <v>1005</v>
      </c>
      <c r="L96" s="334">
        <v>1110</v>
      </c>
      <c r="M96" s="334">
        <v>1277</v>
      </c>
      <c r="N96" s="334">
        <v>1443</v>
      </c>
      <c r="O96" s="338" t="s">
        <v>242</v>
      </c>
      <c r="P96" s="334">
        <v>562</v>
      </c>
      <c r="Q96" s="334">
        <v>628</v>
      </c>
      <c r="R96" s="334">
        <v>826</v>
      </c>
      <c r="S96" s="334">
        <v>1005</v>
      </c>
      <c r="T96" s="334">
        <v>1110</v>
      </c>
      <c r="U96" s="334">
        <v>1277</v>
      </c>
      <c r="V96" s="334">
        <v>1443</v>
      </c>
    </row>
    <row r="97" spans="6:22">
      <c r="F97" s="268" t="s">
        <v>345</v>
      </c>
      <c r="G97" s="336" t="s">
        <v>241</v>
      </c>
      <c r="H97" s="334">
        <v>562</v>
      </c>
      <c r="I97" s="334">
        <v>628</v>
      </c>
      <c r="J97" s="334">
        <v>826</v>
      </c>
      <c r="K97" s="334">
        <v>1005</v>
      </c>
      <c r="L97" s="334">
        <v>1122</v>
      </c>
      <c r="M97" s="334">
        <v>1290</v>
      </c>
      <c r="N97" s="334">
        <v>1459</v>
      </c>
      <c r="O97" s="338" t="s">
        <v>242</v>
      </c>
      <c r="P97" s="334">
        <v>562</v>
      </c>
      <c r="Q97" s="334">
        <v>628</v>
      </c>
      <c r="R97" s="334">
        <v>826</v>
      </c>
      <c r="S97" s="334">
        <v>1005</v>
      </c>
      <c r="T97" s="334">
        <v>1122</v>
      </c>
      <c r="U97" s="334">
        <v>1290</v>
      </c>
      <c r="V97" s="334">
        <v>1459</v>
      </c>
    </row>
    <row r="98" spans="6:22">
      <c r="F98" s="268" t="s">
        <v>346</v>
      </c>
      <c r="G98" s="336" t="s">
        <v>241</v>
      </c>
      <c r="H98" s="334">
        <v>801</v>
      </c>
      <c r="I98" s="334">
        <v>888</v>
      </c>
      <c r="J98" s="334">
        <v>1083</v>
      </c>
      <c r="K98" s="334">
        <v>1449</v>
      </c>
      <c r="L98" s="334">
        <v>1611</v>
      </c>
      <c r="M98" s="334">
        <v>1853</v>
      </c>
      <c r="N98" s="334">
        <v>2094</v>
      </c>
      <c r="O98" s="338" t="s">
        <v>242</v>
      </c>
      <c r="P98" s="334">
        <v>801</v>
      </c>
      <c r="Q98" s="334">
        <v>888</v>
      </c>
      <c r="R98" s="334">
        <v>1083</v>
      </c>
      <c r="S98" s="334">
        <v>1309</v>
      </c>
      <c r="T98" s="334">
        <v>1461</v>
      </c>
      <c r="U98" s="334">
        <v>1611</v>
      </c>
      <c r="V98" s="334">
        <v>1762</v>
      </c>
    </row>
    <row r="99" spans="6:22">
      <c r="F99" s="268" t="s">
        <v>347</v>
      </c>
      <c r="G99" s="336" t="s">
        <v>241</v>
      </c>
      <c r="H99" s="334">
        <v>574</v>
      </c>
      <c r="I99" s="334">
        <v>641</v>
      </c>
      <c r="J99" s="334">
        <v>844</v>
      </c>
      <c r="K99" s="334">
        <v>1027</v>
      </c>
      <c r="L99" s="334">
        <v>1134</v>
      </c>
      <c r="M99" s="334">
        <v>1304</v>
      </c>
      <c r="N99" s="334">
        <v>1474</v>
      </c>
      <c r="O99" s="338" t="s">
        <v>242</v>
      </c>
      <c r="P99" s="334">
        <v>574</v>
      </c>
      <c r="Q99" s="334">
        <v>641</v>
      </c>
      <c r="R99" s="334">
        <v>844</v>
      </c>
      <c r="S99" s="334">
        <v>1027</v>
      </c>
      <c r="T99" s="334">
        <v>1134</v>
      </c>
      <c r="U99" s="334">
        <v>1304</v>
      </c>
      <c r="V99" s="334">
        <v>1474</v>
      </c>
    </row>
    <row r="100" spans="6:22">
      <c r="F100" s="268" t="s">
        <v>348</v>
      </c>
      <c r="G100" s="336" t="s">
        <v>241</v>
      </c>
      <c r="H100" s="334">
        <v>562</v>
      </c>
      <c r="I100" s="334">
        <v>628</v>
      </c>
      <c r="J100" s="334">
        <v>826</v>
      </c>
      <c r="K100" s="334">
        <v>1105</v>
      </c>
      <c r="L100" s="334">
        <v>1110</v>
      </c>
      <c r="M100" s="334">
        <v>1277</v>
      </c>
      <c r="N100" s="334">
        <v>1443</v>
      </c>
      <c r="O100" s="338" t="s">
        <v>242</v>
      </c>
      <c r="P100" s="334">
        <v>562</v>
      </c>
      <c r="Q100" s="334">
        <v>628</v>
      </c>
      <c r="R100" s="334">
        <v>826</v>
      </c>
      <c r="S100" s="334">
        <v>1081</v>
      </c>
      <c r="T100" s="334">
        <v>1110</v>
      </c>
      <c r="U100" s="334">
        <v>1277</v>
      </c>
      <c r="V100" s="334">
        <v>1443</v>
      </c>
    </row>
    <row r="101" spans="6:22">
      <c r="F101" s="268" t="s">
        <v>349</v>
      </c>
      <c r="G101" s="336" t="s">
        <v>241</v>
      </c>
      <c r="H101" s="334">
        <v>562</v>
      </c>
      <c r="I101" s="334">
        <v>628</v>
      </c>
      <c r="J101" s="334">
        <v>826</v>
      </c>
      <c r="K101" s="334">
        <v>1103</v>
      </c>
      <c r="L101" s="334">
        <v>1122</v>
      </c>
      <c r="M101" s="334">
        <v>1290</v>
      </c>
      <c r="N101" s="334">
        <v>1459</v>
      </c>
      <c r="O101" s="338" t="s">
        <v>242</v>
      </c>
      <c r="P101" s="334">
        <v>562</v>
      </c>
      <c r="Q101" s="334">
        <v>628</v>
      </c>
      <c r="R101" s="334">
        <v>826</v>
      </c>
      <c r="S101" s="334">
        <v>1081</v>
      </c>
      <c r="T101" s="334">
        <v>1122</v>
      </c>
      <c r="U101" s="334">
        <v>1290</v>
      </c>
      <c r="V101" s="334">
        <v>1456</v>
      </c>
    </row>
    <row r="102" spans="6:22">
      <c r="F102" s="268" t="s">
        <v>350</v>
      </c>
      <c r="G102" s="336" t="s">
        <v>241</v>
      </c>
      <c r="H102" s="334">
        <v>615</v>
      </c>
      <c r="I102" s="334">
        <v>718</v>
      </c>
      <c r="J102" s="334">
        <v>904</v>
      </c>
      <c r="K102" s="334">
        <v>1100</v>
      </c>
      <c r="L102" s="334">
        <v>1214</v>
      </c>
      <c r="M102" s="334">
        <v>1396</v>
      </c>
      <c r="N102" s="334">
        <v>1578</v>
      </c>
      <c r="O102" s="338" t="s">
        <v>242</v>
      </c>
      <c r="P102" s="334">
        <v>615</v>
      </c>
      <c r="Q102" s="334">
        <v>718</v>
      </c>
      <c r="R102" s="334">
        <v>904</v>
      </c>
      <c r="S102" s="334">
        <v>1100</v>
      </c>
      <c r="T102" s="334">
        <v>1214</v>
      </c>
      <c r="U102" s="334">
        <v>1396</v>
      </c>
      <c r="V102" s="334">
        <v>1552</v>
      </c>
    </row>
  </sheetData>
  <sheetProtection algorithmName="SHA-512" hashValue="fDM+G3hrx9jeygk6mHDfChxjDiMe+G6xPxQPWoVIkETGzZYf+jhxVhExpKDThE/m+O7dMyc4exv2dJC8t1msbg==" saltValue="TUMN4gPLGl848ilGjtOfGA==" spinCount="100000" sheet="1" objects="1" scenarios="1"/>
  <sortState xmlns:xlrd2="http://schemas.microsoft.com/office/spreadsheetml/2017/richdata2" ref="F2:P102">
    <sortCondition ref="F2:F102"/>
  </sortState>
  <mergeCells count="2">
    <mergeCell ref="B3:D3"/>
    <mergeCell ref="A5:A6"/>
  </mergeCells>
  <dataValidations count="1">
    <dataValidation type="list" allowBlank="1" showInputMessage="1" showErrorMessage="1" sqref="B3:D3" xr:uid="{E6C57242-4EE3-4E1E-B6AF-887F53EB7523}">
      <formula1>$F$2:$F$102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016b452-edb5-4692-9194-33ba6d00eb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D69B26B9C9844AB791D9592DD7E8B0" ma:contentTypeVersion="7" ma:contentTypeDescription="Create a new document." ma:contentTypeScope="" ma:versionID="d52344ecd785ca8f8d369fb12df8f21b">
  <xsd:schema xmlns:xsd="http://www.w3.org/2001/XMLSchema" xmlns:xs="http://www.w3.org/2001/XMLSchema" xmlns:p="http://schemas.microsoft.com/office/2006/metadata/properties" xmlns:ns3="b016b452-edb5-4692-9194-33ba6d00ebbf" xmlns:ns4="2aa5f66e-17d7-49fa-809d-7a70291c8001" targetNamespace="http://schemas.microsoft.com/office/2006/metadata/properties" ma:root="true" ma:fieldsID="a235e4db903616ed0b525e9b2e6a27a1" ns3:_="" ns4:_="">
    <xsd:import namespace="b016b452-edb5-4692-9194-33ba6d00ebbf"/>
    <xsd:import namespace="2aa5f66e-17d7-49fa-809d-7a70291c800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6b452-edb5-4692-9194-33ba6d00e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a5f66e-17d7-49fa-809d-7a70291c80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48556-4347-4CFA-A837-CEA2D0B42046}">
  <ds:schemaRefs>
    <ds:schemaRef ds:uri="http://schemas.microsoft.com/sharepoint/v3/contenttype/forms"/>
  </ds:schemaRefs>
</ds:datastoreItem>
</file>

<file path=customXml/itemProps2.xml><?xml version="1.0" encoding="utf-8"?>
<ds:datastoreItem xmlns:ds="http://schemas.openxmlformats.org/officeDocument/2006/customXml" ds:itemID="{F1BFE2AF-19AE-4E43-AE6B-E4C276395C23}">
  <ds:schemaRefs>
    <ds:schemaRef ds:uri="http://schemas.microsoft.com/office/2006/metadata/properties"/>
    <ds:schemaRef ds:uri="http://schemas.microsoft.com/office/infopath/2007/PartnerControls"/>
    <ds:schemaRef ds:uri="b016b452-edb5-4692-9194-33ba6d00ebbf"/>
  </ds:schemaRefs>
</ds:datastoreItem>
</file>

<file path=customXml/itemProps3.xml><?xml version="1.0" encoding="utf-8"?>
<ds:datastoreItem xmlns:ds="http://schemas.openxmlformats.org/officeDocument/2006/customXml" ds:itemID="{6578ECCD-3D44-4F01-AE8B-318EAAA59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6b452-edb5-4692-9194-33ba6d00ebbf"/>
    <ds:schemaRef ds:uri="2aa5f66e-17d7-49fa-809d-7a70291c80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Operating</vt:lpstr>
      <vt:lpstr>Financing</vt:lpstr>
      <vt:lpstr>Project Cost Summary</vt:lpstr>
      <vt:lpstr>Sources &amp; Uses</vt:lpstr>
      <vt:lpstr>Pro Forma</vt:lpstr>
      <vt:lpstr>AMI</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Brittany K Piper</dc:creator>
  <cp:keywords/>
  <dc:description/>
  <cp:lastModifiedBy>Jasa-Harris, Kimberly</cp:lastModifiedBy>
  <cp:revision/>
  <dcterms:created xsi:type="dcterms:W3CDTF">2023-09-25T19:02:33Z</dcterms:created>
  <dcterms:modified xsi:type="dcterms:W3CDTF">2024-04-23T17:19:50Z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0x010100ADD69B26B9C9844AB791D9592DD7E8B0</vt:lpwstr>
  </property>
</Properties>
</file>